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615" windowHeight="5520" activeTab="0"/>
  </bookViews>
  <sheets>
    <sheet name="Hyponic" sheetId="1" r:id="rId1"/>
    <sheet name="BBB" sheetId="2" r:id="rId2"/>
    <sheet name="GENERIC" sheetId="3" r:id="rId3"/>
    <sheet name="ROI" sheetId="4" r:id="rId4"/>
  </sheets>
  <definedNames>
    <definedName name="_xlnm.Print_Area" localSheetId="1">'BBB'!$E$1:$L$46</definedName>
    <definedName name="_xlnm.Print_Area" localSheetId="2">'GENERIC'!$E$1:$L$46</definedName>
    <definedName name="_xlnm.Print_Area" localSheetId="0">'Hyponic'!$E$1:$L$45</definedName>
  </definedNames>
  <calcPr fullCalcOnLoad="1"/>
</workbook>
</file>

<file path=xl/sharedStrings.xml><?xml version="1.0" encoding="utf-8"?>
<sst xmlns="http://schemas.openxmlformats.org/spreadsheetml/2006/main" count="407" uniqueCount="154">
  <si>
    <r>
      <t>USAGE</t>
    </r>
    <r>
      <rPr>
        <b/>
        <vertAlign val="superscript"/>
        <sz val="10"/>
        <color indexed="16"/>
        <rFont val="Arial"/>
        <family val="2"/>
      </rPr>
      <t>1</t>
    </r>
  </si>
  <si>
    <t>EFFICIENCY</t>
  </si>
  <si>
    <t>OPERATIONAL HRS/YR</t>
  </si>
  <si>
    <t>YEARLY COST</t>
  </si>
  <si>
    <t>NUMBER OF UNITS IN CENTER:</t>
  </si>
  <si>
    <r>
      <t>US$/KWH</t>
    </r>
    <r>
      <rPr>
        <b/>
        <vertAlign val="superscript"/>
        <sz val="10"/>
        <color indexed="16"/>
        <rFont val="Arial"/>
        <family val="2"/>
      </rPr>
      <t>3</t>
    </r>
  </si>
  <si>
    <t>HYPONIC</t>
  </si>
  <si>
    <t>WORM GEAR</t>
  </si>
  <si>
    <t>RATIO</t>
  </si>
  <si>
    <t>60+</t>
  </si>
  <si>
    <t>Ratio</t>
  </si>
  <si>
    <t>Current Worm Reducer:</t>
  </si>
  <si>
    <t>HP</t>
  </si>
  <si>
    <t>State of Operation:</t>
  </si>
  <si>
    <t>1</t>
  </si>
  <si>
    <t>10</t>
  </si>
  <si>
    <t>15</t>
  </si>
  <si>
    <t>MOTOR EFFICIENCY</t>
  </si>
  <si>
    <t>Census Division and State</t>
  </si>
  <si>
    <t>All Sectors</t>
  </si>
  <si>
    <t>North Atlantic</t>
  </si>
  <si>
    <t> Maine</t>
  </si>
  <si>
    <t> Massachusetts</t>
  </si>
  <si>
    <t> New Hampshire</t>
  </si>
  <si>
    <t> Rhode Island</t>
  </si>
  <si>
    <t> Vermont</t>
  </si>
  <si>
    <t>Middle Atlantic</t>
  </si>
  <si>
    <t> New Jersey</t>
  </si>
  <si>
    <t> New York</t>
  </si>
  <si>
    <t> Pennsylvania</t>
  </si>
  <si>
    <t>East North Central</t>
  </si>
  <si>
    <t> Illinois</t>
  </si>
  <si>
    <t> Indiana</t>
  </si>
  <si>
    <t> Michigan</t>
  </si>
  <si>
    <t> Ohio</t>
  </si>
  <si>
    <t> Wisconsin</t>
  </si>
  <si>
    <t>West North Central</t>
  </si>
  <si>
    <t> Iowa</t>
  </si>
  <si>
    <t> Kansas</t>
  </si>
  <si>
    <t> Minnesota</t>
  </si>
  <si>
    <t> Missouri</t>
  </si>
  <si>
    <t> Nebraska</t>
  </si>
  <si>
    <t> North Dakota</t>
  </si>
  <si>
    <t> South Dakota</t>
  </si>
  <si>
    <t>South Atlantic</t>
  </si>
  <si>
    <t> Delaware</t>
  </si>
  <si>
    <t> District of Columbia</t>
  </si>
  <si>
    <t> Florida</t>
  </si>
  <si>
    <t> Georgia</t>
  </si>
  <si>
    <t> Maryland</t>
  </si>
  <si>
    <t> North Carolina</t>
  </si>
  <si>
    <t> South Carolina</t>
  </si>
  <si>
    <t> Virginia</t>
  </si>
  <si>
    <t> West Virginia</t>
  </si>
  <si>
    <t>East South Central</t>
  </si>
  <si>
    <t> Alabama</t>
  </si>
  <si>
    <t> Kentucky</t>
  </si>
  <si>
    <t> Mississippi</t>
  </si>
  <si>
    <t>West South Central</t>
  </si>
  <si>
    <t> Arkansas</t>
  </si>
  <si>
    <t> Louisiana</t>
  </si>
  <si>
    <t> Oklahoma</t>
  </si>
  <si>
    <t> Texas</t>
  </si>
  <si>
    <t>Mountain</t>
  </si>
  <si>
    <t> Arizona</t>
  </si>
  <si>
    <t> Colorado</t>
  </si>
  <si>
    <t> Idaho</t>
  </si>
  <si>
    <t> Montana</t>
  </si>
  <si>
    <t> Nevada</t>
  </si>
  <si>
    <t> New Mexico</t>
  </si>
  <si>
    <t> Utah</t>
  </si>
  <si>
    <t>Pacific Contiguous</t>
  </si>
  <si>
    <t> California</t>
  </si>
  <si>
    <t> Oregon</t>
  </si>
  <si>
    <t> Washington</t>
  </si>
  <si>
    <t>Pacific Noncontiguous</t>
  </si>
  <si>
    <t> Alaska</t>
  </si>
  <si>
    <t> Hawaii</t>
  </si>
  <si>
    <t>U.S. Total</t>
  </si>
  <si>
    <t>Tennessee</t>
  </si>
  <si>
    <t xml:space="preserve"> Wyoming</t>
  </si>
  <si>
    <t xml:space="preserve"> Connecticut</t>
  </si>
  <si>
    <t>Average Motor HP:</t>
  </si>
  <si>
    <t>Average % of Full Load</t>
  </si>
  <si>
    <r>
      <t xml:space="preserve">MOTOR HP </t>
    </r>
    <r>
      <rPr>
        <sz val="10"/>
        <color indexed="16"/>
        <rFont val="Arial"/>
        <family val="2"/>
      </rPr>
      <t>(Average)</t>
    </r>
  </si>
  <si>
    <t>Name:</t>
  </si>
  <si>
    <t>Company:</t>
  </si>
  <si>
    <t>Quote #:</t>
  </si>
  <si>
    <t>TOTAL ENERGY SAVINGS IN                                    US $ PER YEAR</t>
  </si>
  <si>
    <r>
      <t>2</t>
    </r>
    <r>
      <rPr>
        <b/>
        <sz val="10"/>
        <rFont val="Arial"/>
        <family val="2"/>
      </rPr>
      <t xml:space="preserve"> Based on average gear box efficiencies at given ratio</t>
    </r>
  </si>
  <si>
    <r>
      <t xml:space="preserve">3 </t>
    </r>
    <r>
      <rPr>
        <b/>
        <sz val="10"/>
        <rFont val="Arial"/>
        <family val="2"/>
      </rPr>
      <t xml:space="preserve">Energy Cost per KW hours in US Dollar </t>
    </r>
    <r>
      <rPr>
        <i/>
        <sz val="10"/>
        <rFont val="Arial"/>
        <family val="2"/>
      </rPr>
      <t>(Source: Energy Information Administration)</t>
    </r>
  </si>
  <si>
    <r>
      <t xml:space="preserve">1  </t>
    </r>
    <r>
      <rPr>
        <b/>
        <sz val="10"/>
        <rFont val="Arial"/>
        <family val="2"/>
      </rPr>
      <t>Average percent of Full Load</t>
    </r>
    <r>
      <rPr>
        <i/>
        <sz val="10"/>
        <rFont val="Arial"/>
        <family val="2"/>
      </rPr>
      <t xml:space="preserve"> (typically 80%)</t>
    </r>
  </si>
  <si>
    <t>US $ SAVINGS UNIT/YEAR</t>
  </si>
  <si>
    <t>BBB</t>
  </si>
  <si>
    <t>SAVINGS CALCULATOR WITH KNOWN EFFICIENCY</t>
  </si>
  <si>
    <t>HYPONIC SAVINGS CALCULATOR</t>
  </si>
  <si>
    <t>BBB SAVINGS CALCULATOR</t>
  </si>
  <si>
    <t>TYPE</t>
  </si>
  <si>
    <t>Rollerchain</t>
  </si>
  <si>
    <t>V-Belt</t>
  </si>
  <si>
    <t>Cogged V-Belt</t>
  </si>
  <si>
    <t>Synchronous</t>
  </si>
  <si>
    <t>Shaft Mount</t>
  </si>
  <si>
    <t>Driving Method</t>
  </si>
  <si>
    <t>BELTS OR CHAINS</t>
  </si>
  <si>
    <t>SHEAVES</t>
  </si>
  <si>
    <t>BUSHING</t>
  </si>
  <si>
    <t>OIL</t>
  </si>
  <si>
    <t>BELT GUARDS</t>
  </si>
  <si>
    <t>LABOR / MAINTENANCE COST</t>
  </si>
  <si>
    <t>WORM</t>
  </si>
  <si>
    <t>SUMITOMO</t>
  </si>
  <si>
    <t>NEW GEARBOX INSTALLATION</t>
  </si>
  <si>
    <t>REDUCER COST</t>
  </si>
  <si>
    <t>MOTOR</t>
  </si>
  <si>
    <t>EXISTING GEARBOX REPLACEMENT</t>
  </si>
  <si>
    <t>BELT OR CHAIN REPLACEMENT / YR</t>
  </si>
  <si>
    <t>LABOR / MAINTENANCE COST / YR</t>
  </si>
  <si>
    <t>OIL COST / YR</t>
  </si>
  <si>
    <t>OPERATION COST / YR</t>
  </si>
  <si>
    <t>Hyponic</t>
  </si>
  <si>
    <t>Generic</t>
  </si>
  <si>
    <t>Select your Product</t>
  </si>
  <si>
    <t>PROJECT PAYBACK PERIOD</t>
  </si>
  <si>
    <t>**Component costs should be estimated on a yearly basis.  If you only expect to replace one $100 chain every two years, the per year cost is $50.</t>
  </si>
  <si>
    <t>Year 0</t>
  </si>
  <si>
    <t>Year 1</t>
  </si>
  <si>
    <t>Year 2</t>
  </si>
  <si>
    <t>Year 3</t>
  </si>
  <si>
    <t>Year 4</t>
  </si>
  <si>
    <t>Year 5</t>
  </si>
  <si>
    <t>INSTALLATION COST</t>
  </si>
  <si>
    <t>COST PER UNIT</t>
  </si>
  <si>
    <t>OPERATIONAL COSTS</t>
  </si>
  <si>
    <t>-</t>
  </si>
  <si>
    <t>Initial Investment</t>
  </si>
  <si>
    <t>Operating Costs</t>
  </si>
  <si>
    <t>Maintenance Costs</t>
  </si>
  <si>
    <t>ONE BOX SAVINGS PER YEAR</t>
  </si>
  <si>
    <t>ONE BOX SAVINGS OVER 5 YRS</t>
  </si>
  <si>
    <t>TOTAL POSSIBLE SAVINGS</t>
  </si>
  <si>
    <r>
      <t xml:space="preserve">** </t>
    </r>
    <r>
      <rPr>
        <i/>
        <sz val="11"/>
        <rFont val="ＭＳ Ｐゴシック"/>
        <family val="0"/>
      </rPr>
      <t>Total savings</t>
    </r>
    <r>
      <rPr>
        <sz val="11"/>
        <rFont val="ＭＳ Ｐゴシック"/>
        <family val="0"/>
      </rPr>
      <t xml:space="preserve"> include total number of units in operation, and factors in initial investment of Worm vs Sumi</t>
    </r>
  </si>
  <si>
    <t>Total Return on Investment</t>
  </si>
  <si>
    <t>Payback Period</t>
  </si>
  <si>
    <t>Initial Cash Investment - Per Unit</t>
  </si>
  <si>
    <t>Cash Savings - Per Unit</t>
  </si>
  <si>
    <t>Current Avg Motor HP:</t>
  </si>
  <si>
    <t>DEMAND HP</t>
  </si>
  <si>
    <r>
      <t>Driving Efficiency</t>
    </r>
    <r>
      <rPr>
        <b/>
        <vertAlign val="superscript"/>
        <sz val="10"/>
        <color indexed="16"/>
        <rFont val="Arial"/>
        <family val="2"/>
      </rPr>
      <t>4</t>
    </r>
  </si>
  <si>
    <r>
      <t>Maintenance Cost / Year</t>
    </r>
    <r>
      <rPr>
        <b/>
        <vertAlign val="superscript"/>
        <sz val="10"/>
        <color indexed="16"/>
        <rFont val="Arial"/>
        <family val="2"/>
      </rPr>
      <t>5</t>
    </r>
  </si>
  <si>
    <r>
      <t xml:space="preserve">5 </t>
    </r>
    <r>
      <rPr>
        <b/>
        <sz val="10"/>
        <rFont val="Arial"/>
        <family val="2"/>
      </rPr>
      <t>Base value on per unit average for one year</t>
    </r>
  </si>
  <si>
    <r>
      <t>REDUCER EFFICIENCY</t>
    </r>
    <r>
      <rPr>
        <b/>
        <vertAlign val="superscript"/>
        <sz val="10"/>
        <color indexed="16"/>
        <rFont val="Arial"/>
        <family val="2"/>
      </rPr>
      <t>2</t>
    </r>
  </si>
  <si>
    <r>
      <t xml:space="preserve">4 </t>
    </r>
    <r>
      <rPr>
        <b/>
        <sz val="10"/>
        <rFont val="Arial"/>
        <family val="2"/>
      </rPr>
      <t>Efficiency of Driving Method, Hyponic to be always Shaft Mount 100%</t>
    </r>
  </si>
  <si>
    <t>100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</si>
</sst>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\l\b."/>
    <numFmt numFmtId="177" formatCode="0.00\l\b."/>
    <numFmt numFmtId="178" formatCode="0.0\ \l\b."/>
    <numFmt numFmtId="179" formatCode="0.0\ \l\b"/>
    <numFmt numFmtId="180" formatCode="0.0\ \L\B."/>
    <numFmt numFmtId="181" formatCode="0.0\ \L\B"/>
    <numFmt numFmtId="182" formatCode="0\ \L\B."/>
    <numFmt numFmtId="183" formatCode="&quot;$&quot;#,##0.00"/>
    <numFmt numFmtId="184" formatCode="0.0%"/>
    <numFmt numFmtId="185" formatCode="&quot;$&quot;#,##0.000"/>
    <numFmt numFmtId="186" formatCode="#,##0.000_);[Red]\(#,##0.000\)"/>
    <numFmt numFmtId="187" formatCode="#,##0.0_);[Red]\(#,##0.0\)"/>
    <numFmt numFmtId="188" formatCode="0.000%"/>
    <numFmt numFmtId="189" formatCode="&quot;$&quot;#,##0"/>
    <numFmt numFmtId="190" formatCode="#\ ?/2"/>
  </numFmts>
  <fonts count="57">
    <font>
      <sz val="11"/>
      <name val="ＭＳ Ｐゴシック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vertAlign val="superscript"/>
      <sz val="10"/>
      <color indexed="16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color indexed="44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name val="ＭＳ Ｐゴシック"/>
      <family val="0"/>
    </font>
    <font>
      <sz val="22"/>
      <name val="ＭＳ Ｐゴシック"/>
      <family val="0"/>
    </font>
    <font>
      <b/>
      <sz val="18"/>
      <name val="ＭＳ Ｐゴシック"/>
      <family val="0"/>
    </font>
    <font>
      <b/>
      <sz val="11"/>
      <color indexed="8"/>
      <name val="ＭＳ Ｐゴシック"/>
      <family val="0"/>
    </font>
    <font>
      <i/>
      <sz val="11"/>
      <name val="ＭＳ Ｐゴシック"/>
      <family val="0"/>
    </font>
    <font>
      <sz val="8"/>
      <name val="Segoe UI"/>
      <family val="2"/>
    </font>
    <font>
      <sz val="18"/>
      <color indexed="38"/>
      <name val="Calibri Light"/>
      <family val="2"/>
    </font>
    <font>
      <b/>
      <sz val="15"/>
      <color indexed="38"/>
      <name val="Calibri"/>
      <family val="2"/>
    </font>
    <font>
      <b/>
      <sz val="13"/>
      <color indexed="38"/>
      <name val="Calibri"/>
      <family val="2"/>
    </font>
    <font>
      <b/>
      <sz val="11"/>
      <color indexed="38"/>
      <name val="Calibri"/>
      <family val="2"/>
    </font>
    <font>
      <sz val="11"/>
      <color indexed="15"/>
      <name val="Calibri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sz val="11"/>
      <color indexed="12"/>
      <name val="Calibri"/>
      <family val="2"/>
    </font>
    <font>
      <b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24"/>
      <name val="Calibri"/>
      <family val="2"/>
    </font>
    <font>
      <i/>
      <sz val="11"/>
      <color indexed="23"/>
      <name val="Calibri"/>
      <family val="2"/>
    </font>
    <font>
      <b/>
      <sz val="11"/>
      <color indexed="16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sz val="8"/>
      <color indexed="1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6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183" fontId="12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55" applyFont="1" applyBorder="1" applyAlignment="1">
      <alignment horizontal="center"/>
      <protection/>
    </xf>
    <xf numFmtId="9" fontId="3" fillId="0" borderId="11" xfId="58" applyFont="1" applyBorder="1" applyAlignment="1">
      <alignment horizontal="center"/>
    </xf>
    <xf numFmtId="0" fontId="13" fillId="33" borderId="12" xfId="0" applyFont="1" applyFill="1" applyBorder="1" applyAlignment="1">
      <alignment horizontal="left" wrapText="1"/>
    </xf>
    <xf numFmtId="0" fontId="13" fillId="33" borderId="13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horizontal="left" wrapText="1"/>
    </xf>
    <xf numFmtId="0" fontId="14" fillId="0" borderId="15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left" wrapText="1"/>
    </xf>
    <xf numFmtId="0" fontId="14" fillId="0" borderId="17" xfId="0" applyFont="1" applyFill="1" applyBorder="1" applyAlignment="1">
      <alignment horizontal="center" wrapText="1"/>
    </xf>
    <xf numFmtId="0" fontId="14" fillId="0" borderId="18" xfId="0" applyFont="1" applyFill="1" applyBorder="1" applyAlignment="1">
      <alignment horizontal="left" wrapText="1"/>
    </xf>
    <xf numFmtId="0" fontId="14" fillId="0" borderId="19" xfId="0" applyFont="1" applyFill="1" applyBorder="1" applyAlignment="1">
      <alignment horizontal="center" wrapText="1"/>
    </xf>
    <xf numFmtId="0" fontId="14" fillId="0" borderId="20" xfId="0" applyFont="1" applyFill="1" applyBorder="1" applyAlignment="1">
      <alignment horizontal="left" wrapText="1"/>
    </xf>
    <xf numFmtId="0" fontId="14" fillId="0" borderId="21" xfId="0" applyFont="1" applyFill="1" applyBorder="1" applyAlignment="1">
      <alignment horizontal="center" wrapText="1"/>
    </xf>
    <xf numFmtId="9" fontId="2" fillId="33" borderId="22" xfId="0" applyNumberFormat="1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10" fontId="2" fillId="33" borderId="22" xfId="0" applyNumberFormat="1" applyFont="1" applyFill="1" applyBorder="1" applyAlignment="1">
      <alignment horizontal="center" vertical="center"/>
    </xf>
    <xf numFmtId="183" fontId="2" fillId="33" borderId="23" xfId="0" applyNumberFormat="1" applyFont="1" applyFill="1" applyBorder="1" applyAlignment="1">
      <alignment horizontal="center" vertical="center"/>
    </xf>
    <xf numFmtId="183" fontId="12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9" fontId="2" fillId="33" borderId="24" xfId="0" applyNumberFormat="1" applyFont="1" applyFill="1" applyBorder="1" applyAlignment="1">
      <alignment horizontal="center" vertical="center"/>
    </xf>
    <xf numFmtId="10" fontId="2" fillId="33" borderId="24" xfId="0" applyNumberFormat="1" applyFont="1" applyFill="1" applyBorder="1" applyAlignment="1" applyProtection="1">
      <alignment horizontal="center" vertical="center" wrapText="1"/>
      <protection/>
    </xf>
    <xf numFmtId="183" fontId="2" fillId="33" borderId="25" xfId="0" applyNumberFormat="1" applyFont="1" applyFill="1" applyBorder="1" applyAlignment="1" applyProtection="1">
      <alignment horizontal="center" vertical="center" wrapText="1"/>
      <protection/>
    </xf>
    <xf numFmtId="183" fontId="12" fillId="34" borderId="26" xfId="0" applyNumberFormat="1" applyFont="1" applyFill="1" applyBorder="1" applyAlignment="1" applyProtection="1">
      <alignment horizontal="center" vertical="center" wrapText="1"/>
      <protection/>
    </xf>
    <xf numFmtId="0" fontId="1" fillId="35" borderId="24" xfId="0" applyFont="1" applyFill="1" applyBorder="1" applyAlignment="1" applyProtection="1">
      <alignment horizontal="center" vertical="center" wrapText="1"/>
      <protection locked="0"/>
    </xf>
    <xf numFmtId="0" fontId="1" fillId="35" borderId="22" xfId="0" applyFont="1" applyFill="1" applyBorder="1" applyAlignment="1" applyProtection="1">
      <alignment horizontal="center" vertical="center"/>
      <protection locked="0"/>
    </xf>
    <xf numFmtId="0" fontId="4" fillId="35" borderId="10" xfId="0" applyFont="1" applyFill="1" applyBorder="1" applyAlignment="1" applyProtection="1">
      <alignment horizontal="center" vertical="center" wrapText="1"/>
      <protection locked="0"/>
    </xf>
    <xf numFmtId="184" fontId="3" fillId="0" borderId="11" xfId="58" applyNumberFormat="1" applyFont="1" applyBorder="1" applyAlignment="1">
      <alignment horizontal="center"/>
    </xf>
    <xf numFmtId="9" fontId="2" fillId="33" borderId="24" xfId="0" applyNumberFormat="1" applyFont="1" applyFill="1" applyBorder="1" applyAlignment="1" applyProtection="1">
      <alignment horizontal="center" vertical="center"/>
      <protection/>
    </xf>
    <xf numFmtId="9" fontId="2" fillId="33" borderId="22" xfId="0" applyNumberFormat="1" applyFont="1" applyFill="1" applyBorder="1" applyAlignment="1" applyProtection="1">
      <alignment horizontal="center" vertical="center"/>
      <protection/>
    </xf>
    <xf numFmtId="10" fontId="15" fillId="36" borderId="24" xfId="0" applyNumberFormat="1" applyFont="1" applyFill="1" applyBorder="1" applyAlignment="1" applyProtection="1">
      <alignment horizontal="center" vertical="center" wrapText="1"/>
      <protection locked="0"/>
    </xf>
    <xf numFmtId="10" fontId="15" fillId="36" borderId="22" xfId="0" applyNumberFormat="1" applyFont="1" applyFill="1" applyBorder="1" applyAlignment="1" applyProtection="1">
      <alignment horizontal="center" vertical="center"/>
      <protection locked="0"/>
    </xf>
    <xf numFmtId="10" fontId="15" fillId="37" borderId="24" xfId="0" applyNumberFormat="1" applyFont="1" applyFill="1" applyBorder="1" applyAlignment="1" applyProtection="1">
      <alignment horizontal="center" vertical="center" wrapText="1"/>
      <protection locked="0"/>
    </xf>
    <xf numFmtId="10" fontId="15" fillId="37" borderId="22" xfId="0" applyNumberFormat="1" applyFont="1" applyFill="1" applyBorder="1" applyAlignment="1" applyProtection="1">
      <alignment horizontal="center" vertical="center"/>
      <protection locked="0"/>
    </xf>
    <xf numFmtId="0" fontId="3" fillId="38" borderId="0" xfId="0" applyFont="1" applyFill="1" applyAlignment="1">
      <alignment/>
    </xf>
    <xf numFmtId="0" fontId="3" fillId="39" borderId="0" xfId="0" applyFont="1" applyFill="1" applyAlignment="1">
      <alignment/>
    </xf>
    <xf numFmtId="49" fontId="3" fillId="39" borderId="0" xfId="0" applyNumberFormat="1" applyFont="1" applyFill="1" applyAlignment="1">
      <alignment horizontal="center"/>
    </xf>
    <xf numFmtId="0" fontId="3" fillId="39" borderId="0" xfId="0" applyNumberFormat="1" applyFont="1" applyFill="1" applyAlignment="1">
      <alignment/>
    </xf>
    <xf numFmtId="0" fontId="14" fillId="39" borderId="0" xfId="0" applyFont="1" applyFill="1" applyAlignment="1">
      <alignment/>
    </xf>
    <xf numFmtId="0" fontId="3" fillId="38" borderId="11" xfId="0" applyFont="1" applyFill="1" applyBorder="1" applyAlignment="1">
      <alignment horizontal="left"/>
    </xf>
    <xf numFmtId="0" fontId="12" fillId="38" borderId="0" xfId="0" applyFont="1" applyFill="1" applyAlignment="1">
      <alignment/>
    </xf>
    <xf numFmtId="0" fontId="2" fillId="0" borderId="2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wrapText="1"/>
    </xf>
    <xf numFmtId="0" fontId="12" fillId="38" borderId="0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2" fillId="38" borderId="0" xfId="0" applyFont="1" applyFill="1" applyAlignment="1">
      <alignment horizontal="center"/>
    </xf>
    <xf numFmtId="0" fontId="4" fillId="35" borderId="11" xfId="0" applyFont="1" applyFill="1" applyBorder="1" applyAlignment="1" applyProtection="1">
      <alignment horizontal="center"/>
      <protection locked="0"/>
    </xf>
    <xf numFmtId="9" fontId="4" fillId="35" borderId="11" xfId="58" applyFont="1" applyFill="1" applyBorder="1" applyAlignment="1" applyProtection="1">
      <alignment horizontal="center"/>
      <protection locked="0"/>
    </xf>
    <xf numFmtId="9" fontId="3" fillId="0" borderId="11" xfId="58" applyFont="1" applyFill="1" applyBorder="1" applyAlignment="1">
      <alignment/>
    </xf>
    <xf numFmtId="0" fontId="4" fillId="36" borderId="11" xfId="0" applyFont="1" applyFill="1" applyBorder="1" applyAlignment="1" applyProtection="1">
      <alignment horizontal="center"/>
      <protection locked="0"/>
    </xf>
    <xf numFmtId="183" fontId="12" fillId="34" borderId="28" xfId="0" applyNumberFormat="1" applyFont="1" applyFill="1" applyBorder="1" applyAlignment="1" applyProtection="1">
      <alignment horizontal="center" vertical="center" wrapText="1"/>
      <protection/>
    </xf>
    <xf numFmtId="0" fontId="2" fillId="33" borderId="24" xfId="0" applyFont="1" applyFill="1" applyBorder="1" applyAlignment="1">
      <alignment horizontal="center" vertical="center"/>
    </xf>
    <xf numFmtId="10" fontId="2" fillId="33" borderId="24" xfId="0" applyNumberFormat="1" applyFont="1" applyFill="1" applyBorder="1" applyAlignment="1">
      <alignment horizontal="center" vertical="center"/>
    </xf>
    <xf numFmtId="0" fontId="1" fillId="35" borderId="24" xfId="0" applyFont="1" applyFill="1" applyBorder="1" applyAlignment="1" applyProtection="1">
      <alignment horizontal="center" vertical="center"/>
      <protection locked="0"/>
    </xf>
    <xf numFmtId="183" fontId="2" fillId="33" borderId="25" xfId="0" applyNumberFormat="1" applyFont="1" applyFill="1" applyBorder="1" applyAlignment="1">
      <alignment horizontal="center" vertical="center"/>
    </xf>
    <xf numFmtId="9" fontId="2" fillId="33" borderId="24" xfId="58" applyFont="1" applyFill="1" applyBorder="1" applyAlignment="1">
      <alignment horizontal="center" vertical="center"/>
    </xf>
    <xf numFmtId="10" fontId="2" fillId="33" borderId="24" xfId="58" applyNumberFormat="1" applyFont="1" applyFill="1" applyBorder="1" applyAlignment="1" applyProtection="1">
      <alignment horizontal="center" vertical="center" wrapText="1"/>
      <protection/>
    </xf>
    <xf numFmtId="0" fontId="4" fillId="40" borderId="11" xfId="0" applyFont="1" applyFill="1" applyBorder="1" applyAlignment="1" applyProtection="1">
      <alignment horizontal="center"/>
      <protection locked="0"/>
    </xf>
    <xf numFmtId="10" fontId="2" fillId="40" borderId="24" xfId="58" applyNumberFormat="1" applyFont="1" applyFill="1" applyBorder="1" applyAlignment="1" applyProtection="1">
      <alignment horizontal="center" vertical="center" wrapText="1"/>
      <protection locked="0"/>
    </xf>
    <xf numFmtId="9" fontId="2" fillId="40" borderId="24" xfId="58" applyFont="1" applyFill="1" applyBorder="1" applyAlignment="1" applyProtection="1">
      <alignment horizontal="center" vertical="center"/>
      <protection locked="0"/>
    </xf>
    <xf numFmtId="38" fontId="2" fillId="33" borderId="24" xfId="42" applyNumberFormat="1" applyFont="1" applyFill="1" applyBorder="1" applyAlignment="1">
      <alignment horizontal="center" vertical="center"/>
    </xf>
    <xf numFmtId="189" fontId="1" fillId="35" borderId="24" xfId="44" applyNumberFormat="1" applyFont="1" applyFill="1" applyBorder="1" applyAlignment="1" applyProtection="1">
      <alignment horizontal="center" vertical="center" wrapText="1"/>
      <protection locked="0"/>
    </xf>
    <xf numFmtId="38" fontId="1" fillId="35" borderId="24" xfId="42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29" xfId="0" applyBorder="1" applyAlignment="1">
      <alignment/>
    </xf>
    <xf numFmtId="183" fontId="0" fillId="0" borderId="11" xfId="44" applyNumberFormat="1" applyFont="1" applyFill="1" applyBorder="1" applyAlignment="1">
      <alignment horizontal="center"/>
    </xf>
    <xf numFmtId="0" fontId="18" fillId="0" borderId="12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13" xfId="0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183" fontId="18" fillId="0" borderId="30" xfId="0" applyNumberFormat="1" applyFont="1" applyBorder="1" applyAlignment="1">
      <alignment horizontal="center"/>
    </xf>
    <xf numFmtId="183" fontId="18" fillId="0" borderId="13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18" fillId="0" borderId="26" xfId="0" applyFont="1" applyBorder="1" applyAlignment="1">
      <alignment/>
    </xf>
    <xf numFmtId="0" fontId="0" fillId="0" borderId="18" xfId="0" applyBorder="1" applyAlignment="1">
      <alignment/>
    </xf>
    <xf numFmtId="0" fontId="0" fillId="0" borderId="14" xfId="0" applyFont="1" applyBorder="1" applyAlignment="1">
      <alignment horizontal="center"/>
    </xf>
    <xf numFmtId="0" fontId="18" fillId="0" borderId="12" xfId="0" applyFont="1" applyBorder="1" applyAlignment="1">
      <alignment/>
    </xf>
    <xf numFmtId="0" fontId="0" fillId="0" borderId="14" xfId="0" applyBorder="1" applyAlignment="1">
      <alignment horizontal="center"/>
    </xf>
    <xf numFmtId="0" fontId="19" fillId="0" borderId="30" xfId="0" applyFont="1" applyBorder="1" applyAlignment="1">
      <alignment/>
    </xf>
    <xf numFmtId="0" fontId="0" fillId="0" borderId="29" xfId="0" applyFont="1" applyBorder="1" applyAlignment="1">
      <alignment/>
    </xf>
    <xf numFmtId="183" fontId="0" fillId="0" borderId="31" xfId="44" applyNumberFormat="1" applyFont="1" applyFill="1" applyBorder="1" applyAlignment="1">
      <alignment horizontal="center"/>
    </xf>
    <xf numFmtId="183" fontId="0" fillId="0" borderId="32" xfId="44" applyNumberFormat="1" applyFont="1" applyFill="1" applyBorder="1" applyAlignment="1" applyProtection="1">
      <alignment horizontal="center"/>
      <protection/>
    </xf>
    <xf numFmtId="183" fontId="0" fillId="0" borderId="33" xfId="44" applyNumberFormat="1" applyFont="1" applyFill="1" applyBorder="1" applyAlignment="1" applyProtection="1">
      <alignment horizontal="center"/>
      <protection/>
    </xf>
    <xf numFmtId="183" fontId="0" fillId="0" borderId="34" xfId="44" applyNumberFormat="1" applyFont="1" applyFill="1" applyBorder="1" applyAlignment="1" applyProtection="1">
      <alignment horizontal="center"/>
      <protection/>
    </xf>
    <xf numFmtId="183" fontId="0" fillId="0" borderId="35" xfId="44" applyNumberFormat="1" applyFont="1" applyFill="1" applyBorder="1" applyAlignment="1" applyProtection="1">
      <alignment horizontal="center"/>
      <protection/>
    </xf>
    <xf numFmtId="183" fontId="0" fillId="0" borderId="35" xfId="44" applyNumberFormat="1" applyFont="1" applyFill="1" applyBorder="1" applyAlignment="1">
      <alignment horizontal="center"/>
    </xf>
    <xf numFmtId="0" fontId="0" fillId="0" borderId="36" xfId="0" applyBorder="1" applyAlignment="1">
      <alignment/>
    </xf>
    <xf numFmtId="183" fontId="0" fillId="0" borderId="37" xfId="44" applyNumberFormat="1" applyFont="1" applyFill="1" applyBorder="1" applyAlignment="1" applyProtection="1">
      <alignment horizontal="center"/>
      <protection/>
    </xf>
    <xf numFmtId="183" fontId="0" fillId="0" borderId="29" xfId="44" applyNumberFormat="1" applyFont="1" applyFill="1" applyBorder="1" applyAlignment="1" applyProtection="1">
      <alignment horizontal="center"/>
      <protection/>
    </xf>
    <xf numFmtId="183" fontId="0" fillId="0" borderId="36" xfId="44" applyNumberFormat="1" applyFont="1" applyFill="1" applyBorder="1" applyAlignment="1">
      <alignment horizontal="center"/>
    </xf>
    <xf numFmtId="183" fontId="0" fillId="36" borderId="26" xfId="44" applyNumberFormat="1" applyFont="1" applyFill="1" applyBorder="1" applyAlignment="1">
      <alignment horizontal="center"/>
    </xf>
    <xf numFmtId="183" fontId="0" fillId="36" borderId="26" xfId="44" applyNumberFormat="1" applyFont="1" applyFill="1" applyBorder="1" applyAlignment="1" applyProtection="1">
      <alignment horizontal="center"/>
      <protection/>
    </xf>
    <xf numFmtId="8" fontId="0" fillId="0" borderId="31" xfId="0" applyNumberFormat="1" applyBorder="1" applyAlignment="1">
      <alignment horizontal="center"/>
    </xf>
    <xf numFmtId="8" fontId="0" fillId="0" borderId="15" xfId="0" applyNumberFormat="1" applyBorder="1" applyAlignment="1">
      <alignment horizontal="center"/>
    </xf>
    <xf numFmtId="8" fontId="0" fillId="0" borderId="11" xfId="0" applyNumberFormat="1" applyBorder="1" applyAlignment="1">
      <alignment horizontal="center"/>
    </xf>
    <xf numFmtId="8" fontId="0" fillId="0" borderId="17" xfId="0" applyNumberFormat="1" applyBorder="1" applyAlignment="1">
      <alignment horizontal="center"/>
    </xf>
    <xf numFmtId="8" fontId="0" fillId="0" borderId="38" xfId="0" applyNumberFormat="1" applyBorder="1" applyAlignment="1">
      <alignment horizontal="center"/>
    </xf>
    <xf numFmtId="8" fontId="0" fillId="0" borderId="19" xfId="0" applyNumberFormat="1" applyBorder="1" applyAlignment="1">
      <alignment horizontal="center"/>
    </xf>
    <xf numFmtId="8" fontId="0" fillId="0" borderId="30" xfId="0" applyNumberFormat="1" applyBorder="1" applyAlignment="1">
      <alignment horizontal="center"/>
    </xf>
    <xf numFmtId="8" fontId="0" fillId="0" borderId="13" xfId="0" applyNumberFormat="1" applyBorder="1" applyAlignment="1">
      <alignment horizontal="center"/>
    </xf>
    <xf numFmtId="0" fontId="0" fillId="0" borderId="12" xfId="0" applyFont="1" applyBorder="1" applyAlignment="1">
      <alignment/>
    </xf>
    <xf numFmtId="8" fontId="0" fillId="0" borderId="30" xfId="0" applyNumberFormat="1" applyFont="1" applyBorder="1" applyAlignment="1">
      <alignment horizontal="center"/>
    </xf>
    <xf numFmtId="8" fontId="0" fillId="0" borderId="30" xfId="0" applyNumberFormat="1" applyFont="1" applyBorder="1" applyAlignment="1">
      <alignment/>
    </xf>
    <xf numFmtId="8" fontId="0" fillId="0" borderId="13" xfId="0" applyNumberFormat="1" applyFont="1" applyBorder="1" applyAlignment="1">
      <alignment/>
    </xf>
    <xf numFmtId="0" fontId="21" fillId="41" borderId="39" xfId="0" applyFont="1" applyFill="1" applyBorder="1" applyAlignment="1">
      <alignment/>
    </xf>
    <xf numFmtId="0" fontId="21" fillId="41" borderId="40" xfId="0" applyFont="1" applyFill="1" applyBorder="1" applyAlignment="1">
      <alignment horizontal="center"/>
    </xf>
    <xf numFmtId="0" fontId="21" fillId="41" borderId="41" xfId="0" applyFont="1" applyFill="1" applyBorder="1" applyAlignment="1">
      <alignment horizontal="center"/>
    </xf>
    <xf numFmtId="0" fontId="21" fillId="41" borderId="11" xfId="0" applyFont="1" applyFill="1" applyBorder="1" applyAlignment="1">
      <alignment/>
    </xf>
    <xf numFmtId="0" fontId="21" fillId="41" borderId="11" xfId="0" applyFont="1" applyFill="1" applyBorder="1" applyAlignment="1">
      <alignment horizontal="center"/>
    </xf>
    <xf numFmtId="0" fontId="21" fillId="41" borderId="38" xfId="0" applyFont="1" applyFill="1" applyBorder="1" applyAlignment="1">
      <alignment horizontal="center"/>
    </xf>
    <xf numFmtId="0" fontId="21" fillId="41" borderId="38" xfId="0" applyFont="1" applyFill="1" applyBorder="1" applyAlignment="1">
      <alignment/>
    </xf>
    <xf numFmtId="0" fontId="0" fillId="0" borderId="42" xfId="0" applyBorder="1" applyAlignment="1">
      <alignment/>
    </xf>
    <xf numFmtId="8" fontId="0" fillId="0" borderId="43" xfId="0" applyNumberFormat="1" applyBorder="1" applyAlignment="1">
      <alignment horizontal="center"/>
    </xf>
    <xf numFmtId="8" fontId="0" fillId="0" borderId="44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5" xfId="0" applyBorder="1" applyAlignment="1">
      <alignment horizontal="left"/>
    </xf>
    <xf numFmtId="0" fontId="3" fillId="0" borderId="0" xfId="55" applyFont="1" applyBorder="1" applyAlignment="1">
      <alignment horizontal="center"/>
      <protection/>
    </xf>
    <xf numFmtId="0" fontId="3" fillId="0" borderId="0" xfId="58" applyNumberFormat="1" applyFont="1" applyBorder="1" applyAlignment="1">
      <alignment horizontal="center"/>
    </xf>
    <xf numFmtId="9" fontId="3" fillId="0" borderId="38" xfId="58" applyFont="1" applyBorder="1" applyAlignment="1">
      <alignment horizontal="center"/>
    </xf>
    <xf numFmtId="0" fontId="3" fillId="0" borderId="11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 horizontal="center"/>
    </xf>
    <xf numFmtId="12" fontId="3" fillId="0" borderId="0" xfId="58" applyNumberFormat="1" applyFont="1" applyBorder="1" applyAlignment="1">
      <alignment horizontal="center"/>
    </xf>
    <xf numFmtId="12" fontId="3" fillId="0" borderId="11" xfId="55" applyNumberFormat="1" applyFont="1" applyBorder="1" applyAlignment="1">
      <alignment horizontal="center"/>
      <protection/>
    </xf>
    <xf numFmtId="12" fontId="4" fillId="35" borderId="11" xfId="0" applyNumberFormat="1" applyFont="1" applyFill="1" applyBorder="1" applyAlignment="1" applyProtection="1">
      <alignment horizontal="center"/>
      <protection locked="0"/>
    </xf>
    <xf numFmtId="12" fontId="2" fillId="33" borderId="24" xfId="0" applyNumberFormat="1" applyFont="1" applyFill="1" applyBorder="1" applyAlignment="1" applyProtection="1">
      <alignment horizontal="center" vertical="center" wrapText="1"/>
      <protection/>
    </xf>
    <xf numFmtId="12" fontId="2" fillId="33" borderId="24" xfId="0" applyNumberFormat="1" applyFont="1" applyFill="1" applyBorder="1" applyAlignment="1">
      <alignment horizontal="center" vertical="center"/>
    </xf>
    <xf numFmtId="12" fontId="2" fillId="33" borderId="22" xfId="0" applyNumberFormat="1" applyFont="1" applyFill="1" applyBorder="1" applyAlignment="1">
      <alignment horizontal="center" vertical="center"/>
    </xf>
    <xf numFmtId="12" fontId="3" fillId="0" borderId="11" xfId="0" applyNumberFormat="1" applyFont="1" applyFill="1" applyBorder="1" applyAlignment="1">
      <alignment horizontal="center"/>
    </xf>
    <xf numFmtId="12" fontId="4" fillId="37" borderId="1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6" fillId="33" borderId="46" xfId="0" applyFont="1" applyFill="1" applyBorder="1" applyAlignment="1" applyProtection="1">
      <alignment horizontal="center" vertical="center" wrapText="1"/>
      <protection/>
    </xf>
    <xf numFmtId="0" fontId="6" fillId="33" borderId="22" xfId="0" applyFont="1" applyFill="1" applyBorder="1" applyAlignment="1" applyProtection="1">
      <alignment horizontal="center" vertical="center" wrapText="1"/>
      <protection/>
    </xf>
    <xf numFmtId="0" fontId="2" fillId="34" borderId="47" xfId="0" applyFont="1" applyFill="1" applyBorder="1" applyAlignment="1" applyProtection="1">
      <alignment horizontal="center" vertical="center" wrapText="1"/>
      <protection/>
    </xf>
    <xf numFmtId="0" fontId="2" fillId="34" borderId="48" xfId="0" applyFont="1" applyFill="1" applyBorder="1" applyAlignment="1" applyProtection="1">
      <alignment horizontal="center" vertical="center" wrapText="1"/>
      <protection/>
    </xf>
    <xf numFmtId="0" fontId="2" fillId="33" borderId="45" xfId="0" applyFont="1" applyFill="1" applyBorder="1" applyAlignment="1" applyProtection="1">
      <alignment horizontal="center" vertical="center" wrapText="1"/>
      <protection/>
    </xf>
    <xf numFmtId="0" fontId="2" fillId="33" borderId="49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4" borderId="27" xfId="0" applyFont="1" applyFill="1" applyBorder="1" applyAlignment="1">
      <alignment horizontal="center" vertical="center"/>
    </xf>
    <xf numFmtId="0" fontId="2" fillId="34" borderId="50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 wrapText="1"/>
    </xf>
    <xf numFmtId="0" fontId="2" fillId="34" borderId="50" xfId="0" applyFont="1" applyFill="1" applyBorder="1" applyAlignment="1">
      <alignment horizontal="center" vertical="center" wrapText="1"/>
    </xf>
    <xf numFmtId="0" fontId="12" fillId="38" borderId="0" xfId="0" applyFont="1" applyFill="1" applyBorder="1" applyAlignment="1">
      <alignment horizontal="left"/>
    </xf>
    <xf numFmtId="0" fontId="4" fillId="35" borderId="29" xfId="0" applyFont="1" applyFill="1" applyBorder="1" applyAlignment="1" applyProtection="1">
      <alignment horizontal="center"/>
      <protection locked="0"/>
    </xf>
    <xf numFmtId="0" fontId="4" fillId="35" borderId="33" xfId="0" applyFont="1" applyFill="1" applyBorder="1" applyAlignment="1" applyProtection="1">
      <alignment horizontal="center"/>
      <protection locked="0"/>
    </xf>
    <xf numFmtId="0" fontId="3" fillId="34" borderId="42" xfId="0" applyFont="1" applyFill="1" applyBorder="1" applyAlignment="1">
      <alignment horizontal="center"/>
    </xf>
    <xf numFmtId="0" fontId="3" fillId="34" borderId="51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horizontal="center" vertical="center" wrapText="1"/>
      <protection/>
    </xf>
    <xf numFmtId="0" fontId="3" fillId="38" borderId="29" xfId="0" applyFont="1" applyFill="1" applyBorder="1" applyAlignment="1" applyProtection="1">
      <alignment horizontal="center"/>
      <protection locked="0"/>
    </xf>
    <xf numFmtId="0" fontId="3" fillId="38" borderId="33" xfId="0" applyFont="1" applyFill="1" applyBorder="1" applyAlignment="1" applyProtection="1">
      <alignment horizontal="center"/>
      <protection locked="0"/>
    </xf>
    <xf numFmtId="183" fontId="17" fillId="42" borderId="52" xfId="0" applyNumberFormat="1" applyFont="1" applyFill="1" applyBorder="1" applyAlignment="1">
      <alignment horizontal="center" vertical="center" wrapText="1"/>
    </xf>
    <xf numFmtId="183" fontId="17" fillId="42" borderId="0" xfId="0" applyNumberFormat="1" applyFont="1" applyFill="1" applyBorder="1" applyAlignment="1">
      <alignment horizontal="center" vertical="center" wrapText="1"/>
    </xf>
    <xf numFmtId="0" fontId="16" fillId="42" borderId="0" xfId="0" applyFont="1" applyFill="1" applyBorder="1" applyAlignment="1">
      <alignment horizontal="center" vertical="center" wrapText="1"/>
    </xf>
    <xf numFmtId="0" fontId="16" fillId="42" borderId="5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3" fillId="34" borderId="44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2" fillId="34" borderId="54" xfId="0" applyFont="1" applyFill="1" applyBorder="1" applyAlignment="1">
      <alignment horizontal="center" vertical="center" wrapText="1"/>
    </xf>
    <xf numFmtId="0" fontId="2" fillId="34" borderId="55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 applyProtection="1">
      <alignment horizontal="center" vertical="center" wrapText="1"/>
      <protection/>
    </xf>
    <xf numFmtId="0" fontId="2" fillId="34" borderId="56" xfId="0" applyFont="1" applyFill="1" applyBorder="1" applyAlignment="1" applyProtection="1">
      <alignment horizontal="center" vertical="center" wrapText="1"/>
      <protection/>
    </xf>
    <xf numFmtId="0" fontId="2" fillId="35" borderId="54" xfId="0" applyFont="1" applyFill="1" applyBorder="1" applyAlignment="1" applyProtection="1">
      <alignment horizontal="center" vertical="center" wrapText="1"/>
      <protection locked="0"/>
    </xf>
    <xf numFmtId="0" fontId="2" fillId="35" borderId="55" xfId="0" applyFont="1" applyFill="1" applyBorder="1" applyAlignment="1" applyProtection="1">
      <alignment horizontal="center" vertical="center" wrapText="1"/>
      <protection locked="0"/>
    </xf>
    <xf numFmtId="0" fontId="20" fillId="3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8" fontId="18" fillId="0" borderId="57" xfId="0" applyNumberFormat="1" applyFont="1" applyBorder="1" applyAlignment="1">
      <alignment horizontal="center"/>
    </xf>
    <xf numFmtId="8" fontId="18" fillId="0" borderId="58" xfId="0" applyNumberFormat="1" applyFont="1" applyBorder="1" applyAlignment="1">
      <alignment horizontal="center"/>
    </xf>
    <xf numFmtId="8" fontId="18" fillId="0" borderId="59" xfId="0" applyNumberFormat="1" applyFont="1" applyBorder="1" applyAlignment="1">
      <alignment horizontal="center"/>
    </xf>
    <xf numFmtId="0" fontId="0" fillId="0" borderId="60" xfId="0" applyBorder="1" applyAlignment="1">
      <alignment horizontal="center"/>
    </xf>
    <xf numFmtId="9" fontId="18" fillId="0" borderId="45" xfId="58" applyFont="1" applyBorder="1" applyAlignment="1">
      <alignment horizontal="center"/>
    </xf>
    <xf numFmtId="9" fontId="18" fillId="0" borderId="49" xfId="58" applyFont="1" applyBorder="1" applyAlignment="1">
      <alignment horizontal="center"/>
    </xf>
    <xf numFmtId="9" fontId="18" fillId="0" borderId="10" xfId="58" applyFont="1" applyBorder="1" applyAlignment="1">
      <alignment horizontal="center"/>
    </xf>
    <xf numFmtId="0" fontId="18" fillId="0" borderId="45" xfId="58" applyNumberFormat="1" applyFont="1" applyBorder="1" applyAlignment="1">
      <alignment horizontal="center"/>
    </xf>
    <xf numFmtId="0" fontId="18" fillId="0" borderId="49" xfId="58" applyNumberFormat="1" applyFont="1" applyBorder="1" applyAlignment="1">
      <alignment horizontal="center"/>
    </xf>
    <xf numFmtId="0" fontId="18" fillId="0" borderId="10" xfId="58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color auto="1"/>
      </font>
      <fill>
        <patternFill>
          <bgColor indexed="47"/>
        </patternFill>
      </fill>
    </dxf>
    <dxf>
      <font>
        <color auto="1"/>
      </font>
      <fill>
        <patternFill>
          <bgColor rgb="FF9999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645028"/>
      <rgbColor rgb="00004B90"/>
      <rgbColor rgb="00FFFFFF"/>
      <rgbColor rgb="00644B7D"/>
      <rgbColor rgb="00FFFFFF"/>
      <rgbColor rgb="003877B3"/>
      <rgbColor rgb="0000A651"/>
      <rgbColor rgb="00000000"/>
      <rgbColor rgb="00FFFFFF"/>
      <rgbColor rgb="001D1288"/>
      <rgbColor rgb="00E4E4E4"/>
      <rgbColor rgb="00EBB100"/>
      <rgbColor rgb="006DCFF6"/>
      <rgbColor rgb="00736357"/>
      <rgbColor rgb="00666666"/>
      <rgbColor rgb="00B90000"/>
      <rgbColor rgb="00D5602B"/>
      <rgbColor rgb="00F1C82A"/>
      <rgbColor rgb="003877B3"/>
      <rgbColor rgb="0089B0DA"/>
      <rgbColor rgb="00B4CEEA"/>
      <rgbColor rgb="00644B7D"/>
      <rgbColor rgb="00057882"/>
      <rgbColor rgb="0064AAAA"/>
      <rgbColor rgb="00236428"/>
      <rgbColor rgb="007CC576"/>
      <rgbColor rgb="00736357"/>
      <rgbColor rgb="00998675"/>
      <rgbColor rgb="00F69679"/>
      <rgbColor rgb="004B4B4B"/>
      <rgbColor rgb="00E4E4E4"/>
      <rgbColor rgb="0064AAAA"/>
      <rgbColor rgb="007CC576"/>
      <rgbColor rgb="00FFFFFF"/>
      <rgbColor rgb="00FFFFFF"/>
      <rgbColor rgb="000054A6"/>
      <rgbColor rgb="0089B0DA"/>
      <rgbColor rgb="00B90000"/>
      <rgbColor rgb="00999999"/>
      <rgbColor rgb="00057882"/>
      <rgbColor rgb="00236428"/>
      <rgbColor rgb="00FFFFFF"/>
      <rgbColor rgb="00F1C82A"/>
      <rgbColor rgb="00D5602B"/>
      <rgbColor rgb="00B90000"/>
      <rgbColor rgb="00F69679"/>
      <rgbColor rgb="009A9A9A"/>
      <rgbColor rgb="00448CCB"/>
      <rgbColor rgb="00FFFFFF"/>
      <rgbColor rgb="00FFFFFF"/>
      <rgbColor rgb="00C9C9C9"/>
      <rgbColor rgb="00B4CEEA"/>
      <rgbColor rgb="00D5602B"/>
      <rgbColor rgb="00998675"/>
      <rgbColor rgb="004B4B4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781050</xdr:colOff>
      <xdr:row>0</xdr:row>
      <xdr:rowOff>57150</xdr:rowOff>
    </xdr:from>
    <xdr:to>
      <xdr:col>12</xdr:col>
      <xdr:colOff>0</xdr:colOff>
      <xdr:row>2</xdr:row>
      <xdr:rowOff>180975</xdr:rowOff>
    </xdr:to>
    <xdr:pic>
      <xdr:nvPicPr>
        <xdr:cNvPr id="1" name="Picture 1" descr="Small logo_pos_color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57150"/>
          <a:ext cx="2762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</xdr:colOff>
      <xdr:row>2</xdr:row>
      <xdr:rowOff>9525</xdr:rowOff>
    </xdr:from>
    <xdr:to>
      <xdr:col>11</xdr:col>
      <xdr:colOff>200025</xdr:colOff>
      <xdr:row>3</xdr:row>
      <xdr:rowOff>76200</xdr:rowOff>
    </xdr:to>
    <xdr:pic>
      <xdr:nvPicPr>
        <xdr:cNvPr id="2" name="Picture 2" descr="Small america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4200" y="371475"/>
          <a:ext cx="20193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2</xdr:row>
      <xdr:rowOff>180975</xdr:rowOff>
    </xdr:from>
    <xdr:to>
      <xdr:col>12</xdr:col>
      <xdr:colOff>152400</xdr:colOff>
      <xdr:row>8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924675" y="542925"/>
          <a:ext cx="27717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4200 Holland Boulevard  Chesapeake, VA 23323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 (757) 485-3355  Fax (757) 485-4441   www.sumitomodrive.com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781050</xdr:colOff>
      <xdr:row>0</xdr:row>
      <xdr:rowOff>57150</xdr:rowOff>
    </xdr:from>
    <xdr:to>
      <xdr:col>12</xdr:col>
      <xdr:colOff>0</xdr:colOff>
      <xdr:row>2</xdr:row>
      <xdr:rowOff>180975</xdr:rowOff>
    </xdr:to>
    <xdr:pic>
      <xdr:nvPicPr>
        <xdr:cNvPr id="1" name="Picture 1" descr="Small logo_pos_color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3225" y="57150"/>
          <a:ext cx="2857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</xdr:colOff>
      <xdr:row>2</xdr:row>
      <xdr:rowOff>9525</xdr:rowOff>
    </xdr:from>
    <xdr:to>
      <xdr:col>11</xdr:col>
      <xdr:colOff>200025</xdr:colOff>
      <xdr:row>3</xdr:row>
      <xdr:rowOff>76200</xdr:rowOff>
    </xdr:to>
    <xdr:pic>
      <xdr:nvPicPr>
        <xdr:cNvPr id="2" name="Picture 2" descr="Small america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29450" y="371475"/>
          <a:ext cx="19907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2</xdr:row>
      <xdr:rowOff>180975</xdr:rowOff>
    </xdr:from>
    <xdr:to>
      <xdr:col>12</xdr:col>
      <xdr:colOff>152400</xdr:colOff>
      <xdr:row>8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019925" y="542925"/>
          <a:ext cx="2743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4200 Holland Boulevard  Chesapeake, VA 23323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 (757) 485-3355  Fax (757) 485-4441   www.sumitomodrive.com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704850</xdr:colOff>
      <xdr:row>0</xdr:row>
      <xdr:rowOff>66675</xdr:rowOff>
    </xdr:from>
    <xdr:to>
      <xdr:col>11</xdr:col>
      <xdr:colOff>714375</xdr:colOff>
      <xdr:row>2</xdr:row>
      <xdr:rowOff>180975</xdr:rowOff>
    </xdr:to>
    <xdr:pic>
      <xdr:nvPicPr>
        <xdr:cNvPr id="1" name="Picture 2" descr="Small logo_pos_color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6675"/>
          <a:ext cx="2552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</xdr:colOff>
      <xdr:row>2</xdr:row>
      <xdr:rowOff>9525</xdr:rowOff>
    </xdr:from>
    <xdr:to>
      <xdr:col>11</xdr:col>
      <xdr:colOff>200025</xdr:colOff>
      <xdr:row>3</xdr:row>
      <xdr:rowOff>76200</xdr:rowOff>
    </xdr:to>
    <xdr:pic>
      <xdr:nvPicPr>
        <xdr:cNvPr id="2" name="Picture 3" descr="Small america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0" y="371475"/>
          <a:ext cx="1857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2</xdr:row>
      <xdr:rowOff>180975</xdr:rowOff>
    </xdr:from>
    <xdr:to>
      <xdr:col>12</xdr:col>
      <xdr:colOff>152400</xdr:colOff>
      <xdr:row>8</xdr:row>
      <xdr:rowOff>57150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6848475" y="542925"/>
          <a:ext cx="260985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4200 Holland Boulevard  Chesapeake, VA 23323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 (757) 485-3355  Fax (757) 485-4441   www.sumitomodrive.com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1</xdr:row>
      <xdr:rowOff>104775</xdr:rowOff>
    </xdr:from>
    <xdr:to>
      <xdr:col>5</xdr:col>
      <xdr:colOff>9525</xdr:colOff>
      <xdr:row>1</xdr:row>
      <xdr:rowOff>104775</xdr:rowOff>
    </xdr:to>
    <xdr:sp>
      <xdr:nvSpPr>
        <xdr:cNvPr id="1" name="Line 17"/>
        <xdr:cNvSpPr>
          <a:spLocks/>
        </xdr:cNvSpPr>
      </xdr:nvSpPr>
      <xdr:spPr>
        <a:xfrm flipH="1">
          <a:off x="4991100" y="3238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Z75"/>
  <sheetViews>
    <sheetView tabSelected="1" zoomScaleSheetLayoutView="100" zoomScalePageLayoutView="0" workbookViewId="0" topLeftCell="A1">
      <selection activeCell="L12" sqref="L12"/>
    </sheetView>
  </sheetViews>
  <sheetFormatPr defaultColWidth="9.00390625" defaultRowHeight="13.5"/>
  <cols>
    <col min="1" max="4" width="9.00390625" style="35" customWidth="1"/>
    <col min="5" max="6" width="10.375" style="35" customWidth="1"/>
    <col min="7" max="7" width="9.00390625" style="35" customWidth="1"/>
    <col min="8" max="8" width="13.00390625" style="35" customWidth="1"/>
    <col min="9" max="9" width="11.875" style="35" customWidth="1"/>
    <col min="10" max="10" width="13.875" style="35" bestFit="1" customWidth="1"/>
    <col min="11" max="12" width="10.375" style="35" customWidth="1"/>
    <col min="13" max="14" width="9.00390625" style="35" customWidth="1"/>
    <col min="15" max="15" width="6.375" style="35" hidden="1" customWidth="1"/>
    <col min="16" max="16" width="11.50390625" style="35" hidden="1" customWidth="1"/>
    <col min="17" max="17" width="9.00390625" style="35" hidden="1" customWidth="1"/>
    <col min="18" max="18" width="9.00390625" style="36" hidden="1" customWidth="1"/>
    <col min="19" max="20" width="11.50390625" style="37" hidden="1" customWidth="1"/>
    <col min="21" max="21" width="9.00390625" style="35" hidden="1" customWidth="1"/>
    <col min="22" max="22" width="32.75390625" style="38" hidden="1" customWidth="1"/>
    <col min="23" max="23" width="9.00390625" style="38" hidden="1" customWidth="1"/>
    <col min="24" max="24" width="9.00390625" style="35" hidden="1" customWidth="1"/>
    <col min="25" max="25" width="12.625" style="35" hidden="1" customWidth="1"/>
    <col min="26" max="26" width="11.50390625" style="35" hidden="1" customWidth="1"/>
    <col min="27" max="16384" width="9.00390625" style="35" customWidth="1"/>
  </cols>
  <sheetData>
    <row r="1" spans="5:12" ht="14.25">
      <c r="E1" s="34"/>
      <c r="F1" s="34"/>
      <c r="G1" s="34"/>
      <c r="H1" s="34"/>
      <c r="I1" s="34"/>
      <c r="J1" s="34"/>
      <c r="K1" s="34"/>
      <c r="L1" s="34"/>
    </row>
    <row r="2" spans="5:12" ht="14.25">
      <c r="E2" s="34"/>
      <c r="F2" s="34"/>
      <c r="G2" s="34"/>
      <c r="H2" s="34"/>
      <c r="I2" s="34"/>
      <c r="J2" s="34"/>
      <c r="K2" s="34"/>
      <c r="L2" s="34"/>
    </row>
    <row r="3" spans="5:12" ht="14.25">
      <c r="E3" s="34"/>
      <c r="F3" s="39" t="s">
        <v>85</v>
      </c>
      <c r="G3" s="161"/>
      <c r="H3" s="162"/>
      <c r="I3" s="34"/>
      <c r="J3" s="34"/>
      <c r="K3" s="34"/>
      <c r="L3" s="34"/>
    </row>
    <row r="4" spans="5:12" ht="14.25">
      <c r="E4" s="34"/>
      <c r="F4" s="39" t="s">
        <v>86</v>
      </c>
      <c r="G4" s="161"/>
      <c r="H4" s="162"/>
      <c r="I4" s="34"/>
      <c r="J4" s="34"/>
      <c r="K4" s="34"/>
      <c r="L4" s="34"/>
    </row>
    <row r="5" spans="5:12" ht="14.25">
      <c r="E5" s="34"/>
      <c r="F5" s="39" t="s">
        <v>87</v>
      </c>
      <c r="G5" s="161"/>
      <c r="H5" s="162"/>
      <c r="I5" s="34"/>
      <c r="J5" s="34"/>
      <c r="K5" s="34"/>
      <c r="L5" s="34"/>
    </row>
    <row r="6" spans="5:12" ht="14.25">
      <c r="E6" s="34"/>
      <c r="F6" s="34"/>
      <c r="G6" s="34"/>
      <c r="H6" s="34"/>
      <c r="I6" s="34"/>
      <c r="J6" s="34"/>
      <c r="K6" s="34"/>
      <c r="L6" s="34"/>
    </row>
    <row r="7" spans="5:12" ht="14.25">
      <c r="E7" s="34"/>
      <c r="F7" s="34"/>
      <c r="G7" s="34"/>
      <c r="H7" s="34"/>
      <c r="I7" s="34"/>
      <c r="J7" s="34"/>
      <c r="K7" s="34"/>
      <c r="L7" s="34"/>
    </row>
    <row r="8" spans="5:12" ht="14.25">
      <c r="E8" s="34"/>
      <c r="F8" s="34"/>
      <c r="G8" s="34"/>
      <c r="H8" s="34"/>
      <c r="I8" s="34"/>
      <c r="J8" s="34"/>
      <c r="K8" s="34"/>
      <c r="L8" s="34"/>
    </row>
    <row r="9" spans="5:12" ht="20.25">
      <c r="E9" s="167" t="s">
        <v>95</v>
      </c>
      <c r="F9" s="167"/>
      <c r="G9" s="167"/>
      <c r="H9" s="167"/>
      <c r="I9" s="167"/>
      <c r="J9" s="167"/>
      <c r="K9" s="167"/>
      <c r="L9" s="167"/>
    </row>
    <row r="10" spans="5:12" ht="15" thickBot="1">
      <c r="E10" s="34"/>
      <c r="F10" s="34"/>
      <c r="G10" s="34"/>
      <c r="H10" s="34"/>
      <c r="I10" s="34"/>
      <c r="J10" s="34"/>
      <c r="K10" s="34"/>
      <c r="L10" s="34"/>
    </row>
    <row r="11" spans="5:26" ht="26.25">
      <c r="E11" s="34"/>
      <c r="F11" s="34"/>
      <c r="G11" s="40" t="s">
        <v>13</v>
      </c>
      <c r="H11" s="34"/>
      <c r="I11" s="150" t="s">
        <v>72</v>
      </c>
      <c r="J11" s="151"/>
      <c r="K11" s="34"/>
      <c r="L11" s="34"/>
      <c r="O11" s="2" t="s">
        <v>8</v>
      </c>
      <c r="P11" s="2" t="s">
        <v>1</v>
      </c>
      <c r="R11" s="2" t="s">
        <v>12</v>
      </c>
      <c r="S11" s="2" t="s">
        <v>1</v>
      </c>
      <c r="T11" s="123" t="s">
        <v>12</v>
      </c>
      <c r="V11" s="41" t="s">
        <v>18</v>
      </c>
      <c r="W11" s="42" t="s">
        <v>19</v>
      </c>
      <c r="Y11" s="2" t="s">
        <v>97</v>
      </c>
      <c r="Z11" s="2" t="s">
        <v>1</v>
      </c>
    </row>
    <row r="12" spans="5:26" ht="15">
      <c r="E12" s="34"/>
      <c r="F12" s="34"/>
      <c r="G12" s="34"/>
      <c r="H12" s="34"/>
      <c r="I12" s="43"/>
      <c r="J12" s="44"/>
      <c r="K12" s="45"/>
      <c r="L12" s="46"/>
      <c r="O12" s="2"/>
      <c r="P12" s="2"/>
      <c r="R12" s="128">
        <v>0.125</v>
      </c>
      <c r="S12" s="3">
        <v>0.64</v>
      </c>
      <c r="T12" s="124">
        <v>0</v>
      </c>
      <c r="V12" s="6" t="s">
        <v>55</v>
      </c>
      <c r="W12" s="7">
        <v>6.64</v>
      </c>
      <c r="Y12" s="2" t="s">
        <v>102</v>
      </c>
      <c r="Z12" s="3">
        <v>1</v>
      </c>
    </row>
    <row r="13" spans="5:26" ht="15">
      <c r="E13" s="34"/>
      <c r="F13" s="34"/>
      <c r="G13" s="149" t="s">
        <v>11</v>
      </c>
      <c r="H13" s="149"/>
      <c r="I13" s="47" t="s">
        <v>10</v>
      </c>
      <c r="J13" s="48">
        <v>10</v>
      </c>
      <c r="K13" s="34"/>
      <c r="L13" s="34"/>
      <c r="O13" s="2">
        <v>5</v>
      </c>
      <c r="P13" s="3">
        <v>0.92</v>
      </c>
      <c r="R13" s="128">
        <v>0.25</v>
      </c>
      <c r="S13" s="3">
        <v>0.697</v>
      </c>
      <c r="T13" s="124">
        <v>0.125</v>
      </c>
      <c r="V13" s="8" t="s">
        <v>76</v>
      </c>
      <c r="W13" s="9">
        <v>12.66</v>
      </c>
      <c r="Y13" s="2" t="s">
        <v>98</v>
      </c>
      <c r="Z13" s="3">
        <v>0.92</v>
      </c>
    </row>
    <row r="14" spans="5:26" ht="15">
      <c r="E14" s="34"/>
      <c r="F14" s="34"/>
      <c r="G14" s="34"/>
      <c r="H14" s="34"/>
      <c r="I14" s="43"/>
      <c r="J14" s="44"/>
      <c r="K14" s="44"/>
      <c r="L14" s="44"/>
      <c r="O14" s="2">
        <v>7.5</v>
      </c>
      <c r="P14" s="3">
        <v>0.89</v>
      </c>
      <c r="R14" s="128">
        <v>0.3334</v>
      </c>
      <c r="S14" s="3">
        <v>0.721</v>
      </c>
      <c r="T14" s="124">
        <v>0.25</v>
      </c>
      <c r="V14" s="8" t="s">
        <v>64</v>
      </c>
      <c r="W14" s="9">
        <v>8.64</v>
      </c>
      <c r="Y14" s="2" t="s">
        <v>99</v>
      </c>
      <c r="Z14" s="3">
        <v>0.93</v>
      </c>
    </row>
    <row r="15" spans="5:26" ht="15">
      <c r="E15" s="34"/>
      <c r="F15" s="34"/>
      <c r="G15" s="149" t="s">
        <v>146</v>
      </c>
      <c r="H15" s="149"/>
      <c r="I15" s="34"/>
      <c r="J15" s="130">
        <v>7.5</v>
      </c>
      <c r="K15" s="34"/>
      <c r="L15" s="34"/>
      <c r="O15" s="2">
        <v>10</v>
      </c>
      <c r="P15" s="3">
        <v>0.89</v>
      </c>
      <c r="R15" s="128">
        <v>0.5</v>
      </c>
      <c r="S15" s="3">
        <v>0.728</v>
      </c>
      <c r="T15" s="124">
        <v>0.3334</v>
      </c>
      <c r="V15" s="8" t="s">
        <v>59</v>
      </c>
      <c r="W15" s="9">
        <v>6.93</v>
      </c>
      <c r="Y15" s="2" t="s">
        <v>100</v>
      </c>
      <c r="Z15" s="3">
        <v>0.95</v>
      </c>
    </row>
    <row r="16" spans="5:26" ht="14.25">
      <c r="E16" s="34"/>
      <c r="F16" s="34"/>
      <c r="G16" s="34"/>
      <c r="H16" s="34"/>
      <c r="I16" s="34"/>
      <c r="J16" s="34"/>
      <c r="K16" s="34"/>
      <c r="L16" s="34"/>
      <c r="O16" s="2">
        <v>15</v>
      </c>
      <c r="P16" s="3">
        <v>0.85</v>
      </c>
      <c r="R16" s="128">
        <v>0.75</v>
      </c>
      <c r="S16" s="3">
        <v>0.769</v>
      </c>
      <c r="T16" s="124">
        <v>0.5</v>
      </c>
      <c r="V16" s="8" t="s">
        <v>72</v>
      </c>
      <c r="W16" s="9">
        <v>12.15</v>
      </c>
      <c r="Y16" s="2" t="s">
        <v>101</v>
      </c>
      <c r="Z16" s="3">
        <v>0.98</v>
      </c>
    </row>
    <row r="17" spans="5:23" ht="15">
      <c r="E17" s="34"/>
      <c r="F17" s="34"/>
      <c r="G17" s="40" t="s">
        <v>83</v>
      </c>
      <c r="H17" s="34"/>
      <c r="I17" s="34"/>
      <c r="J17" s="49">
        <v>0.8</v>
      </c>
      <c r="K17" s="34"/>
      <c r="L17" s="34"/>
      <c r="O17" s="2">
        <v>20</v>
      </c>
      <c r="P17" s="3">
        <v>0.81</v>
      </c>
      <c r="R17" s="129" t="s">
        <v>14</v>
      </c>
      <c r="S17" s="3">
        <v>0.773</v>
      </c>
      <c r="T17" s="124">
        <v>0.75</v>
      </c>
      <c r="V17" s="10" t="s">
        <v>65</v>
      </c>
      <c r="W17" s="11">
        <v>7.52</v>
      </c>
    </row>
    <row r="18" spans="5:23" ht="14.25">
      <c r="E18" s="34"/>
      <c r="F18" s="34"/>
      <c r="G18" s="34"/>
      <c r="H18" s="34"/>
      <c r="I18" s="34"/>
      <c r="J18" s="34"/>
      <c r="K18" s="34"/>
      <c r="L18" s="34"/>
      <c r="O18" s="2">
        <v>25</v>
      </c>
      <c r="P18" s="3">
        <v>0.78</v>
      </c>
      <c r="R18" s="128">
        <v>1.5</v>
      </c>
      <c r="S18" s="3">
        <v>0.9</v>
      </c>
      <c r="T18" s="124">
        <v>1</v>
      </c>
      <c r="V18" s="6" t="s">
        <v>81</v>
      </c>
      <c r="W18" s="7">
        <v>14.79</v>
      </c>
    </row>
    <row r="19" spans="5:23" ht="15">
      <c r="E19" s="34"/>
      <c r="F19" s="34"/>
      <c r="G19" s="40" t="s">
        <v>103</v>
      </c>
      <c r="H19" s="34"/>
      <c r="I19" s="34"/>
      <c r="J19" s="48" t="s">
        <v>102</v>
      </c>
      <c r="K19" s="34"/>
      <c r="L19" s="34"/>
      <c r="O19" s="2">
        <v>30</v>
      </c>
      <c r="P19" s="3">
        <v>0.78</v>
      </c>
      <c r="R19" s="128">
        <v>2</v>
      </c>
      <c r="S19" s="3">
        <v>0.824</v>
      </c>
      <c r="T19" s="124">
        <v>1.5</v>
      </c>
      <c r="V19" s="6" t="s">
        <v>45</v>
      </c>
      <c r="W19" s="7">
        <v>10.21</v>
      </c>
    </row>
    <row r="20" spans="5:23" ht="15" thickBot="1">
      <c r="E20" s="34"/>
      <c r="F20" s="34"/>
      <c r="G20" s="34"/>
      <c r="H20" s="34"/>
      <c r="I20" s="34"/>
      <c r="J20" s="34"/>
      <c r="K20" s="34"/>
      <c r="L20" s="34"/>
      <c r="O20" s="2">
        <v>40</v>
      </c>
      <c r="P20" s="3">
        <v>0.75</v>
      </c>
      <c r="R20" s="128">
        <v>3</v>
      </c>
      <c r="S20" s="3">
        <v>0.841</v>
      </c>
      <c r="T20" s="124">
        <v>2</v>
      </c>
      <c r="V20" s="8" t="s">
        <v>46</v>
      </c>
      <c r="W20" s="9">
        <v>11.35</v>
      </c>
    </row>
    <row r="21" spans="5:23" ht="14.25">
      <c r="E21" s="34"/>
      <c r="F21" s="34"/>
      <c r="G21" s="152"/>
      <c r="H21" s="153"/>
      <c r="I21" s="145" t="s">
        <v>7</v>
      </c>
      <c r="J21" s="147" t="s">
        <v>6</v>
      </c>
      <c r="K21" s="34"/>
      <c r="L21" s="34"/>
      <c r="O21" s="2">
        <v>50</v>
      </c>
      <c r="P21" s="3">
        <v>0.7</v>
      </c>
      <c r="R21" s="128">
        <v>5</v>
      </c>
      <c r="S21" s="3">
        <v>0.866</v>
      </c>
      <c r="T21" s="124">
        <v>3</v>
      </c>
      <c r="V21" s="10" t="s">
        <v>47</v>
      </c>
      <c r="W21" s="11">
        <v>10.5</v>
      </c>
    </row>
    <row r="22" spans="5:23" ht="14.25">
      <c r="E22" s="34"/>
      <c r="F22" s="34"/>
      <c r="G22" s="154"/>
      <c r="H22" s="155"/>
      <c r="I22" s="146"/>
      <c r="J22" s="148"/>
      <c r="K22" s="34"/>
      <c r="L22" s="34"/>
      <c r="O22" s="2" t="s">
        <v>9</v>
      </c>
      <c r="P22" s="3">
        <v>0.65</v>
      </c>
      <c r="R22" s="128">
        <v>7.5</v>
      </c>
      <c r="S22" s="3">
        <v>0.867</v>
      </c>
      <c r="T22" s="124">
        <v>5</v>
      </c>
      <c r="V22" s="6" t="s">
        <v>48</v>
      </c>
      <c r="W22" s="7">
        <v>7.58</v>
      </c>
    </row>
    <row r="23" spans="5:23" ht="14.25">
      <c r="E23" s="34"/>
      <c r="F23" s="34"/>
      <c r="G23" s="159" t="s">
        <v>84</v>
      </c>
      <c r="H23" s="160"/>
      <c r="I23" s="131">
        <f>J15</f>
        <v>7.5</v>
      </c>
      <c r="J23" s="132">
        <f>INDEX($R$12:$R$25,MATCH(VLOOKUP(J24/J26,$T$12:$T$24,TRUE,1),$T$12:$T$25,0))</f>
        <v>7.5</v>
      </c>
      <c r="K23" s="34"/>
      <c r="L23" s="34"/>
      <c r="R23" s="129" t="s">
        <v>15</v>
      </c>
      <c r="S23" s="3">
        <v>0.896</v>
      </c>
      <c r="T23" s="124">
        <v>7.5</v>
      </c>
      <c r="V23" s="8" t="s">
        <v>77</v>
      </c>
      <c r="W23" s="9">
        <v>20.55</v>
      </c>
    </row>
    <row r="24" spans="5:23" ht="14.25">
      <c r="E24" s="34"/>
      <c r="F24" s="34"/>
      <c r="G24" s="138" t="s">
        <v>147</v>
      </c>
      <c r="H24" s="139"/>
      <c r="I24" s="19">
        <f>I23*I25*I26*I30</f>
        <v>5.34</v>
      </c>
      <c r="J24" s="53">
        <f>I24</f>
        <v>5.34</v>
      </c>
      <c r="K24" s="34"/>
      <c r="L24" s="34"/>
      <c r="R24" s="129" t="s">
        <v>16</v>
      </c>
      <c r="S24" s="3">
        <v>0.904</v>
      </c>
      <c r="T24" s="124">
        <v>10</v>
      </c>
      <c r="V24" s="8" t="s">
        <v>66</v>
      </c>
      <c r="W24" s="9">
        <v>4.66</v>
      </c>
    </row>
    <row r="25" spans="5:23" ht="14.25">
      <c r="E25" s="34"/>
      <c r="F25" s="34"/>
      <c r="G25" s="159" t="s">
        <v>0</v>
      </c>
      <c r="H25" s="160"/>
      <c r="I25" s="20">
        <f>J17</f>
        <v>0.8</v>
      </c>
      <c r="J25" s="20">
        <f>J24/J26/J23</f>
        <v>0.8376470588235294</v>
      </c>
      <c r="K25" s="34"/>
      <c r="L25" s="34"/>
      <c r="P25" s="50">
        <v>1</v>
      </c>
      <c r="R25" s="129"/>
      <c r="S25" s="3"/>
      <c r="T25" s="124">
        <v>15</v>
      </c>
      <c r="V25" s="8" t="s">
        <v>31</v>
      </c>
      <c r="W25" s="9">
        <v>7.19</v>
      </c>
    </row>
    <row r="26" spans="5:23" ht="14.25">
      <c r="E26" s="34"/>
      <c r="F26" s="34"/>
      <c r="G26" s="159" t="s">
        <v>151</v>
      </c>
      <c r="H26" s="160"/>
      <c r="I26" s="21">
        <f>VLOOKUP(J13,O13:P22,2,FALSE)</f>
        <v>0.89</v>
      </c>
      <c r="J26" s="54">
        <v>0.85</v>
      </c>
      <c r="K26" s="34"/>
      <c r="L26" s="34"/>
      <c r="P26" s="50">
        <v>0.9</v>
      </c>
      <c r="V26" s="10" t="s">
        <v>32</v>
      </c>
      <c r="W26" s="11">
        <v>6.45</v>
      </c>
    </row>
    <row r="27" spans="5:23" ht="14.25">
      <c r="E27" s="34"/>
      <c r="F27" s="34"/>
      <c r="G27" s="159" t="s">
        <v>17</v>
      </c>
      <c r="H27" s="160"/>
      <c r="I27" s="21">
        <f>VLOOKUP(J15,R12:S25,2,FALSE)</f>
        <v>0.867</v>
      </c>
      <c r="J27" s="54">
        <f>VLOOKUP(J23,R12:S25,2,FALSE)</f>
        <v>0.867</v>
      </c>
      <c r="K27" s="34"/>
      <c r="L27" s="34"/>
      <c r="P27" s="50">
        <v>0.8</v>
      </c>
      <c r="V27" s="6" t="s">
        <v>37</v>
      </c>
      <c r="W27" s="7">
        <v>6.71</v>
      </c>
    </row>
    <row r="28" spans="5:23" ht="14.25">
      <c r="E28" s="34"/>
      <c r="F28" s="34"/>
      <c r="G28" s="159" t="s">
        <v>2</v>
      </c>
      <c r="H28" s="160"/>
      <c r="I28" s="24">
        <v>5000</v>
      </c>
      <c r="J28" s="55">
        <v>5000</v>
      </c>
      <c r="K28" s="34"/>
      <c r="L28" s="34"/>
      <c r="P28" s="50">
        <v>0.7</v>
      </c>
      <c r="V28" s="8" t="s">
        <v>38</v>
      </c>
      <c r="W28" s="9">
        <v>6.77</v>
      </c>
    </row>
    <row r="29" spans="5:23" ht="14.25">
      <c r="E29" s="34"/>
      <c r="F29" s="34"/>
      <c r="G29" s="159" t="s">
        <v>5</v>
      </c>
      <c r="H29" s="160"/>
      <c r="I29" s="22">
        <f>VLOOKUP(I11,V12:W63,2,FALSE)/100</f>
        <v>0.1215</v>
      </c>
      <c r="J29" s="56">
        <f>VLOOKUP(I11,V12:W63,2,FALSE)/100</f>
        <v>0.1215</v>
      </c>
      <c r="K29" s="34"/>
      <c r="L29" s="34"/>
      <c r="P29" s="50">
        <v>0.6</v>
      </c>
      <c r="V29" s="8" t="s">
        <v>56</v>
      </c>
      <c r="W29" s="9">
        <v>5.37</v>
      </c>
    </row>
    <row r="30" spans="5:23" ht="15.75" customHeight="1">
      <c r="E30" s="34"/>
      <c r="F30" s="34"/>
      <c r="G30" s="138" t="s">
        <v>148</v>
      </c>
      <c r="H30" s="139"/>
      <c r="I30" s="58">
        <f>VLOOKUP(J19,Y12:Z16,2,FALSE)</f>
        <v>1</v>
      </c>
      <c r="J30" s="57">
        <v>1</v>
      </c>
      <c r="K30" s="34"/>
      <c r="L30" s="34"/>
      <c r="P30" s="50">
        <v>0.5</v>
      </c>
      <c r="V30" s="8" t="s">
        <v>60</v>
      </c>
      <c r="W30" s="9">
        <v>9.1</v>
      </c>
    </row>
    <row r="31" spans="5:23" ht="14.25" customHeight="1">
      <c r="E31" s="34"/>
      <c r="F31" s="34"/>
      <c r="G31" s="138" t="s">
        <v>149</v>
      </c>
      <c r="H31" s="139"/>
      <c r="I31" s="63">
        <v>100</v>
      </c>
      <c r="J31" s="62">
        <v>0</v>
      </c>
      <c r="K31" s="34"/>
      <c r="L31" s="34"/>
      <c r="P31" s="50">
        <v>0.4</v>
      </c>
      <c r="V31" s="8" t="s">
        <v>21</v>
      </c>
      <c r="W31" s="9">
        <v>12.15</v>
      </c>
    </row>
    <row r="32" spans="5:23" ht="15.75" thickBot="1">
      <c r="E32" s="34"/>
      <c r="F32" s="34"/>
      <c r="G32" s="140" t="s">
        <v>3</v>
      </c>
      <c r="H32" s="141"/>
      <c r="I32" s="52">
        <f>I23*I25*I28*I29/I27*0.746+I31</f>
        <v>3236.297577854671</v>
      </c>
      <c r="J32" s="52">
        <f>J23*J25*J28*J29/J27*0.746</f>
        <v>3283.888052106656</v>
      </c>
      <c r="K32" s="34"/>
      <c r="L32" s="34"/>
      <c r="P32" s="50">
        <v>0.3</v>
      </c>
      <c r="V32" s="8" t="s">
        <v>49</v>
      </c>
      <c r="W32" s="9">
        <v>10.78</v>
      </c>
    </row>
    <row r="33" spans="5:23" ht="15" thickBot="1">
      <c r="E33" s="34"/>
      <c r="F33" s="34"/>
      <c r="G33" s="34"/>
      <c r="H33" s="34"/>
      <c r="I33" s="34"/>
      <c r="J33" s="34"/>
      <c r="K33" s="34"/>
      <c r="L33" s="34"/>
      <c r="P33" s="50">
        <v>0.2</v>
      </c>
      <c r="V33" s="10" t="s">
        <v>22</v>
      </c>
      <c r="W33" s="11">
        <v>14.62</v>
      </c>
    </row>
    <row r="34" spans="5:23" ht="17.25" customHeight="1" thickBot="1">
      <c r="E34" s="34"/>
      <c r="F34" s="34"/>
      <c r="G34" s="142" t="s">
        <v>92</v>
      </c>
      <c r="H34" s="143"/>
      <c r="I34" s="144"/>
      <c r="J34" s="1">
        <f>I32-J32</f>
        <v>-47.59047425198469</v>
      </c>
      <c r="K34" s="34"/>
      <c r="L34" s="34"/>
      <c r="P34" s="50">
        <v>0.1</v>
      </c>
      <c r="V34" s="6" t="s">
        <v>33</v>
      </c>
      <c r="W34" s="7">
        <v>8.24</v>
      </c>
    </row>
    <row r="35" spans="5:23" ht="15" thickBot="1">
      <c r="E35" s="34"/>
      <c r="F35" s="34"/>
      <c r="G35" s="34"/>
      <c r="H35" s="34"/>
      <c r="I35" s="34"/>
      <c r="J35" s="34"/>
      <c r="K35" s="34"/>
      <c r="L35" s="34"/>
      <c r="V35" s="8" t="s">
        <v>39</v>
      </c>
      <c r="W35" s="9">
        <v>6.81</v>
      </c>
    </row>
    <row r="36" spans="5:23" ht="15.75" thickBot="1">
      <c r="E36" s="34"/>
      <c r="F36" s="34"/>
      <c r="G36" s="142" t="s">
        <v>4</v>
      </c>
      <c r="H36" s="143"/>
      <c r="I36" s="144"/>
      <c r="J36" s="26">
        <v>1000</v>
      </c>
      <c r="K36" s="34"/>
      <c r="L36" s="34"/>
      <c r="V36" s="8" t="s">
        <v>57</v>
      </c>
      <c r="W36" s="9">
        <v>7.55</v>
      </c>
    </row>
    <row r="37" spans="5:23" ht="8.25" customHeight="1">
      <c r="E37" s="34"/>
      <c r="F37" s="34"/>
      <c r="G37" s="34"/>
      <c r="H37" s="34"/>
      <c r="I37" s="34"/>
      <c r="J37" s="34"/>
      <c r="K37" s="34"/>
      <c r="L37" s="34"/>
      <c r="V37" s="8" t="s">
        <v>40</v>
      </c>
      <c r="W37" s="9">
        <v>5.83</v>
      </c>
    </row>
    <row r="38" spans="5:23" ht="6" customHeight="1">
      <c r="E38" s="34"/>
      <c r="F38" s="34"/>
      <c r="G38" s="34"/>
      <c r="H38" s="34"/>
      <c r="I38" s="34"/>
      <c r="J38" s="34"/>
      <c r="K38" s="34"/>
      <c r="L38" s="34"/>
      <c r="V38" s="8" t="s">
        <v>67</v>
      </c>
      <c r="W38" s="9">
        <v>7.32</v>
      </c>
    </row>
    <row r="39" spans="5:23" ht="39.75" customHeight="1">
      <c r="E39" s="34"/>
      <c r="F39" s="165" t="s">
        <v>88</v>
      </c>
      <c r="G39" s="165"/>
      <c r="H39" s="165"/>
      <c r="I39" s="166"/>
      <c r="J39" s="163">
        <f>J34*J36</f>
        <v>-47590.47425198469</v>
      </c>
      <c r="K39" s="164"/>
      <c r="L39" s="34"/>
      <c r="V39" s="8" t="s">
        <v>41</v>
      </c>
      <c r="W39" s="9">
        <v>5.83</v>
      </c>
    </row>
    <row r="40" spans="5:23" ht="14.25">
      <c r="E40" s="34"/>
      <c r="F40" s="34"/>
      <c r="G40" s="34"/>
      <c r="H40" s="34"/>
      <c r="I40" s="34"/>
      <c r="J40" s="34"/>
      <c r="K40" s="34"/>
      <c r="L40" s="34"/>
      <c r="V40" s="8" t="s">
        <v>68</v>
      </c>
      <c r="W40" s="9">
        <v>9.59</v>
      </c>
    </row>
    <row r="41" spans="5:23" ht="17.25" customHeight="1">
      <c r="E41" s="34"/>
      <c r="F41" s="34"/>
      <c r="G41" s="156" t="s">
        <v>91</v>
      </c>
      <c r="H41" s="157"/>
      <c r="I41" s="157"/>
      <c r="J41" s="157"/>
      <c r="K41" s="157"/>
      <c r="L41" s="34"/>
      <c r="V41" s="8" t="s">
        <v>23</v>
      </c>
      <c r="W41" s="9">
        <v>13.53</v>
      </c>
    </row>
    <row r="42" spans="5:23" ht="14.25">
      <c r="E42" s="34"/>
      <c r="F42" s="34"/>
      <c r="G42" s="136" t="s">
        <v>89</v>
      </c>
      <c r="H42" s="158"/>
      <c r="I42" s="158"/>
      <c r="J42" s="158"/>
      <c r="K42" s="158"/>
      <c r="L42" s="34"/>
      <c r="V42" s="10" t="s">
        <v>27</v>
      </c>
      <c r="W42" s="11">
        <v>11.37</v>
      </c>
    </row>
    <row r="43" spans="5:23" ht="14.25">
      <c r="E43" s="34"/>
      <c r="F43" s="34"/>
      <c r="G43" s="136" t="s">
        <v>90</v>
      </c>
      <c r="H43" s="137"/>
      <c r="I43" s="137"/>
      <c r="J43" s="137"/>
      <c r="K43" s="137"/>
      <c r="L43" s="34"/>
      <c r="V43" s="6" t="s">
        <v>69</v>
      </c>
      <c r="W43" s="7">
        <v>7.66</v>
      </c>
    </row>
    <row r="44" spans="5:23" ht="14.25">
      <c r="E44" s="34"/>
      <c r="F44" s="34"/>
      <c r="G44" s="136" t="s">
        <v>152</v>
      </c>
      <c r="H44" s="137"/>
      <c r="I44" s="137"/>
      <c r="J44" s="137"/>
      <c r="K44" s="137"/>
      <c r="L44" s="34"/>
      <c r="V44" s="8" t="s">
        <v>28</v>
      </c>
      <c r="W44" s="9">
        <v>14.33</v>
      </c>
    </row>
    <row r="45" spans="5:23" ht="14.25" customHeight="1">
      <c r="E45" s="34"/>
      <c r="F45" s="34"/>
      <c r="G45" s="136" t="s">
        <v>150</v>
      </c>
      <c r="H45" s="137"/>
      <c r="I45" s="137"/>
      <c r="J45" s="137"/>
      <c r="K45" s="137"/>
      <c r="L45" s="34"/>
      <c r="V45" s="8" t="s">
        <v>50</v>
      </c>
      <c r="W45" s="9">
        <v>7.68</v>
      </c>
    </row>
    <row r="46" spans="22:23" ht="27" customHeight="1">
      <c r="V46" s="10" t="s">
        <v>42</v>
      </c>
      <c r="W46" s="11">
        <v>6.21</v>
      </c>
    </row>
    <row r="47" spans="22:23" ht="14.25">
      <c r="V47" s="6" t="s">
        <v>34</v>
      </c>
      <c r="W47" s="7">
        <v>7.68</v>
      </c>
    </row>
    <row r="48" spans="22:23" ht="14.25">
      <c r="V48" s="8" t="s">
        <v>61</v>
      </c>
      <c r="W48" s="9">
        <v>7.13</v>
      </c>
    </row>
    <row r="49" spans="22:23" ht="14.25">
      <c r="V49" s="8" t="s">
        <v>73</v>
      </c>
      <c r="W49" s="9">
        <v>6.71</v>
      </c>
    </row>
    <row r="50" spans="22:23" ht="14.25">
      <c r="V50" s="10" t="s">
        <v>29</v>
      </c>
      <c r="W50" s="11">
        <v>8.48</v>
      </c>
    </row>
    <row r="51" spans="22:23" ht="14.25">
      <c r="V51" s="6" t="s">
        <v>24</v>
      </c>
      <c r="W51" s="7">
        <v>13.75</v>
      </c>
    </row>
    <row r="52" spans="22:23" ht="14.25">
      <c r="V52" s="8" t="s">
        <v>51</v>
      </c>
      <c r="W52" s="9">
        <v>7.09</v>
      </c>
    </row>
    <row r="53" spans="22:23" ht="14.25">
      <c r="V53" s="8" t="s">
        <v>43</v>
      </c>
      <c r="W53" s="9">
        <v>6.81</v>
      </c>
    </row>
    <row r="54" spans="22:23" ht="14.25">
      <c r="V54" s="8" t="s">
        <v>79</v>
      </c>
      <c r="W54" s="9">
        <v>7.02</v>
      </c>
    </row>
    <row r="55" spans="22:23" ht="14.25">
      <c r="V55" s="8" t="s">
        <v>62</v>
      </c>
      <c r="W55" s="9">
        <v>10.16</v>
      </c>
    </row>
    <row r="56" spans="22:23" ht="14.25">
      <c r="V56" s="8" t="s">
        <v>70</v>
      </c>
      <c r="W56" s="9">
        <v>6.06</v>
      </c>
    </row>
    <row r="57" spans="22:23" ht="14.25">
      <c r="V57" s="8" t="s">
        <v>25</v>
      </c>
      <c r="W57" s="9">
        <v>11.48</v>
      </c>
    </row>
    <row r="58" spans="22:23" ht="14.25">
      <c r="V58" s="10" t="s">
        <v>52</v>
      </c>
      <c r="W58" s="11">
        <v>6.78</v>
      </c>
    </row>
    <row r="59" spans="22:23" ht="14.25">
      <c r="V59" s="6" t="s">
        <v>74</v>
      </c>
      <c r="W59" s="7">
        <v>6.51</v>
      </c>
    </row>
    <row r="60" spans="22:23" ht="14.25">
      <c r="V60" s="8" t="s">
        <v>53</v>
      </c>
      <c r="W60" s="9">
        <v>5.08</v>
      </c>
    </row>
    <row r="61" spans="22:23" ht="14.25">
      <c r="V61" s="10" t="s">
        <v>35</v>
      </c>
      <c r="W61" s="11">
        <v>8.09</v>
      </c>
    </row>
    <row r="62" spans="22:23" ht="14.25">
      <c r="V62" s="10" t="s">
        <v>80</v>
      </c>
      <c r="W62" s="11">
        <v>5.49</v>
      </c>
    </row>
    <row r="63" spans="22:23" ht="14.25">
      <c r="V63" s="10"/>
      <c r="W63" s="11"/>
    </row>
    <row r="64" spans="22:23" ht="15" thickBot="1">
      <c r="V64" s="12"/>
      <c r="W64" s="13"/>
    </row>
    <row r="65" spans="22:23" ht="15" thickBot="1">
      <c r="V65" s="4" t="s">
        <v>78</v>
      </c>
      <c r="W65" s="5">
        <v>8.83</v>
      </c>
    </row>
    <row r="66" spans="22:23" ht="15" thickBot="1">
      <c r="V66" s="4" t="s">
        <v>20</v>
      </c>
      <c r="W66" s="5">
        <v>14.12</v>
      </c>
    </row>
    <row r="67" spans="22:23" ht="15" thickBot="1">
      <c r="V67" s="4" t="s">
        <v>26</v>
      </c>
      <c r="W67" s="5">
        <v>11.43</v>
      </c>
    </row>
    <row r="68" spans="22:23" ht="15" thickBot="1">
      <c r="V68" s="4" t="s">
        <v>30</v>
      </c>
      <c r="W68" s="5">
        <v>7.5</v>
      </c>
    </row>
    <row r="69" spans="22:23" ht="15" thickBot="1">
      <c r="V69" s="4" t="s">
        <v>36</v>
      </c>
      <c r="W69" s="5">
        <v>6.39</v>
      </c>
    </row>
    <row r="70" spans="22:23" ht="15" thickBot="1">
      <c r="V70" s="4" t="s">
        <v>44</v>
      </c>
      <c r="W70" s="5">
        <v>8.56</v>
      </c>
    </row>
    <row r="71" spans="22:23" ht="15" thickBot="1">
      <c r="V71" s="4" t="s">
        <v>54</v>
      </c>
      <c r="W71" s="5">
        <v>6.54</v>
      </c>
    </row>
    <row r="72" spans="22:23" ht="15" thickBot="1">
      <c r="V72" s="4" t="s">
        <v>58</v>
      </c>
      <c r="W72" s="5">
        <v>9.41</v>
      </c>
    </row>
    <row r="73" spans="22:23" ht="15" thickBot="1">
      <c r="V73" s="4" t="s">
        <v>63</v>
      </c>
      <c r="W73" s="5">
        <v>7.61</v>
      </c>
    </row>
    <row r="74" spans="22:23" ht="15" thickBot="1">
      <c r="V74" s="4" t="s">
        <v>71</v>
      </c>
      <c r="W74" s="5">
        <v>10.45</v>
      </c>
    </row>
    <row r="75" spans="22:23" ht="15" thickBot="1">
      <c r="V75" s="4" t="s">
        <v>75</v>
      </c>
      <c r="W75" s="5">
        <v>17.78</v>
      </c>
    </row>
  </sheetData>
  <sheetProtection/>
  <mergeCells count="29">
    <mergeCell ref="G3:H3"/>
    <mergeCell ref="G4:H4"/>
    <mergeCell ref="G5:H5"/>
    <mergeCell ref="J39:K39"/>
    <mergeCell ref="F39:I39"/>
    <mergeCell ref="G23:H23"/>
    <mergeCell ref="G25:H25"/>
    <mergeCell ref="G24:H24"/>
    <mergeCell ref="E9:L9"/>
    <mergeCell ref="G13:H13"/>
    <mergeCell ref="I21:I22"/>
    <mergeCell ref="J21:J22"/>
    <mergeCell ref="G15:H15"/>
    <mergeCell ref="I11:J11"/>
    <mergeCell ref="G21:H22"/>
    <mergeCell ref="G41:K41"/>
    <mergeCell ref="G26:H26"/>
    <mergeCell ref="G27:H27"/>
    <mergeCell ref="G28:H28"/>
    <mergeCell ref="G29:H29"/>
    <mergeCell ref="G45:K45"/>
    <mergeCell ref="G44:K44"/>
    <mergeCell ref="G30:H30"/>
    <mergeCell ref="G31:H31"/>
    <mergeCell ref="G32:H32"/>
    <mergeCell ref="G36:I36"/>
    <mergeCell ref="G34:I34"/>
    <mergeCell ref="G42:K42"/>
    <mergeCell ref="G43:K43"/>
  </mergeCells>
  <dataValidations count="5">
    <dataValidation type="list" allowBlank="1" showInputMessage="1" showErrorMessage="1" sqref="J13">
      <formula1>$O$13:$O$22</formula1>
    </dataValidation>
    <dataValidation type="list" allowBlank="1" showInputMessage="1" showErrorMessage="1" sqref="J15">
      <formula1>$R$12:$R$24</formula1>
    </dataValidation>
    <dataValidation type="list" allowBlank="1" showInputMessage="1" showErrorMessage="1" sqref="I11">
      <formula1>$V$12:$V$62</formula1>
    </dataValidation>
    <dataValidation type="list" allowBlank="1" showInputMessage="1" showErrorMessage="1" sqref="J17">
      <formula1>$P$25:$P$34</formula1>
    </dataValidation>
    <dataValidation type="list" allowBlank="1" showInputMessage="1" showErrorMessage="1" sqref="J19">
      <formula1>$Y$12:$Y$16</formula1>
    </dataValidation>
  </dataValidations>
  <printOptions horizontalCentered="1" verticalCentered="1"/>
  <pageMargins left="0.5" right="0.5" top="0.5" bottom="0.5" header="0.25" footer="0.25"/>
  <pageSetup horizontalDpi="600" verticalDpi="600" orientation="portrait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E1:Z76"/>
  <sheetViews>
    <sheetView zoomScalePageLayoutView="0" workbookViewId="0" topLeftCell="A10">
      <selection activeCell="I11" sqref="I11:J11"/>
    </sheetView>
  </sheetViews>
  <sheetFormatPr defaultColWidth="9.00390625" defaultRowHeight="13.5"/>
  <cols>
    <col min="1" max="4" width="9.00390625" style="35" customWidth="1"/>
    <col min="5" max="6" width="10.375" style="35" customWidth="1"/>
    <col min="7" max="7" width="9.00390625" style="35" customWidth="1"/>
    <col min="8" max="8" width="12.625" style="35" customWidth="1"/>
    <col min="9" max="10" width="13.50390625" style="35" bestFit="1" customWidth="1"/>
    <col min="11" max="12" width="10.375" style="35" customWidth="1"/>
    <col min="13" max="14" width="9.00390625" style="35" customWidth="1"/>
    <col min="15" max="15" width="6.375" style="35" hidden="1" customWidth="1"/>
    <col min="16" max="16" width="11.50390625" style="35" hidden="1" customWidth="1"/>
    <col min="17" max="17" width="9.00390625" style="35" hidden="1" customWidth="1"/>
    <col min="18" max="18" width="9.00390625" style="36" hidden="1" customWidth="1"/>
    <col min="19" max="20" width="11.50390625" style="37" hidden="1" customWidth="1"/>
    <col min="21" max="21" width="9.00390625" style="35" hidden="1" customWidth="1"/>
    <col min="22" max="22" width="32.75390625" style="38" hidden="1" customWidth="1"/>
    <col min="23" max="23" width="9.00390625" style="38" hidden="1" customWidth="1"/>
    <col min="24" max="24" width="9.00390625" style="35" hidden="1" customWidth="1"/>
    <col min="25" max="25" width="12.625" style="35" hidden="1" customWidth="1"/>
    <col min="26" max="26" width="11.50390625" style="35" hidden="1" customWidth="1"/>
    <col min="27" max="16384" width="9.00390625" style="35" customWidth="1"/>
  </cols>
  <sheetData>
    <row r="1" spans="5:12" ht="14.25">
      <c r="E1" s="34"/>
      <c r="F1" s="34"/>
      <c r="G1" s="34"/>
      <c r="H1" s="34"/>
      <c r="I1" s="34"/>
      <c r="J1" s="34"/>
      <c r="K1" s="34"/>
      <c r="L1" s="34"/>
    </row>
    <row r="2" spans="5:12" ht="14.25">
      <c r="E2" s="34"/>
      <c r="F2" s="34"/>
      <c r="G2" s="34"/>
      <c r="H2" s="34"/>
      <c r="I2" s="34"/>
      <c r="J2" s="34"/>
      <c r="K2" s="34"/>
      <c r="L2" s="34"/>
    </row>
    <row r="3" spans="5:12" ht="14.25">
      <c r="E3" s="34"/>
      <c r="F3" s="39" t="s">
        <v>85</v>
      </c>
      <c r="G3" s="161"/>
      <c r="H3" s="162"/>
      <c r="I3" s="34"/>
      <c r="J3" s="34"/>
      <c r="K3" s="34"/>
      <c r="L3" s="34"/>
    </row>
    <row r="4" spans="5:12" ht="14.25">
      <c r="E4" s="34"/>
      <c r="F4" s="39" t="s">
        <v>86</v>
      </c>
      <c r="G4" s="161"/>
      <c r="H4" s="162"/>
      <c r="I4" s="34"/>
      <c r="J4" s="34"/>
      <c r="K4" s="34"/>
      <c r="L4" s="34"/>
    </row>
    <row r="5" spans="5:12" ht="14.25">
      <c r="E5" s="34"/>
      <c r="F5" s="39" t="s">
        <v>87</v>
      </c>
      <c r="G5" s="161"/>
      <c r="H5" s="162"/>
      <c r="I5" s="34"/>
      <c r="J5" s="34"/>
      <c r="K5" s="34"/>
      <c r="L5" s="34"/>
    </row>
    <row r="6" spans="5:12" ht="14.25">
      <c r="E6" s="34"/>
      <c r="F6" s="34"/>
      <c r="G6" s="34"/>
      <c r="H6" s="34"/>
      <c r="I6" s="34"/>
      <c r="J6" s="34"/>
      <c r="K6" s="34"/>
      <c r="L6" s="34"/>
    </row>
    <row r="7" spans="5:12" ht="14.25">
      <c r="E7" s="34"/>
      <c r="F7" s="34"/>
      <c r="G7" s="34"/>
      <c r="H7" s="34"/>
      <c r="I7" s="34"/>
      <c r="J7" s="34"/>
      <c r="K7" s="34"/>
      <c r="L7" s="34"/>
    </row>
    <row r="8" spans="5:12" ht="14.25">
      <c r="E8" s="34"/>
      <c r="F8" s="34"/>
      <c r="G8" s="34"/>
      <c r="H8" s="34"/>
      <c r="I8" s="34"/>
      <c r="J8" s="34"/>
      <c r="K8" s="34"/>
      <c r="L8" s="34"/>
    </row>
    <row r="9" spans="5:12" ht="20.25">
      <c r="E9" s="167" t="s">
        <v>96</v>
      </c>
      <c r="F9" s="167"/>
      <c r="G9" s="167"/>
      <c r="H9" s="167"/>
      <c r="I9" s="167"/>
      <c r="J9" s="167"/>
      <c r="K9" s="167"/>
      <c r="L9" s="167"/>
    </row>
    <row r="10" spans="5:12" ht="15" thickBot="1">
      <c r="E10" s="34"/>
      <c r="F10" s="34"/>
      <c r="G10" s="34"/>
      <c r="H10" s="34"/>
      <c r="I10" s="34"/>
      <c r="J10" s="34"/>
      <c r="K10" s="34"/>
      <c r="L10" s="34"/>
    </row>
    <row r="11" spans="5:26" ht="26.25">
      <c r="E11" s="34"/>
      <c r="F11" s="34"/>
      <c r="G11" s="40" t="s">
        <v>13</v>
      </c>
      <c r="H11" s="34"/>
      <c r="I11" s="150" t="s">
        <v>66</v>
      </c>
      <c r="J11" s="151"/>
      <c r="K11" s="34"/>
      <c r="L11" s="34"/>
      <c r="O11" s="2" t="s">
        <v>8</v>
      </c>
      <c r="P11" s="2" t="s">
        <v>1</v>
      </c>
      <c r="R11" s="2" t="s">
        <v>12</v>
      </c>
      <c r="S11" s="2" t="s">
        <v>1</v>
      </c>
      <c r="T11" s="123" t="s">
        <v>12</v>
      </c>
      <c r="V11" s="41" t="s">
        <v>18</v>
      </c>
      <c r="W11" s="42" t="s">
        <v>19</v>
      </c>
      <c r="Y11" s="2" t="s">
        <v>97</v>
      </c>
      <c r="Z11" s="2" t="s">
        <v>1</v>
      </c>
    </row>
    <row r="12" spans="5:26" ht="15">
      <c r="E12" s="34"/>
      <c r="F12" s="34"/>
      <c r="G12" s="34"/>
      <c r="H12" s="34"/>
      <c r="I12" s="43"/>
      <c r="J12" s="44"/>
      <c r="K12" s="45"/>
      <c r="L12" s="46"/>
      <c r="O12" s="2"/>
      <c r="P12" s="2"/>
      <c r="R12" s="128">
        <v>0.125</v>
      </c>
      <c r="S12" s="27">
        <v>0.64</v>
      </c>
      <c r="T12" s="124">
        <v>0</v>
      </c>
      <c r="V12" s="6" t="s">
        <v>55</v>
      </c>
      <c r="W12" s="7">
        <v>6.64</v>
      </c>
      <c r="Y12" s="2" t="s">
        <v>102</v>
      </c>
      <c r="Z12" s="3">
        <v>1</v>
      </c>
    </row>
    <row r="13" spans="5:26" ht="15">
      <c r="E13" s="34"/>
      <c r="F13" s="34"/>
      <c r="G13" s="149" t="s">
        <v>11</v>
      </c>
      <c r="H13" s="149"/>
      <c r="I13" s="47" t="s">
        <v>10</v>
      </c>
      <c r="J13" s="48">
        <v>10</v>
      </c>
      <c r="K13" s="34"/>
      <c r="L13" s="34"/>
      <c r="O13" s="2">
        <v>5</v>
      </c>
      <c r="P13" s="3">
        <v>0.92</v>
      </c>
      <c r="R13" s="128">
        <v>0.25</v>
      </c>
      <c r="S13" s="27">
        <v>0.697</v>
      </c>
      <c r="T13" s="124">
        <v>0.125</v>
      </c>
      <c r="V13" s="8" t="s">
        <v>76</v>
      </c>
      <c r="W13" s="9">
        <v>12.66</v>
      </c>
      <c r="Y13" s="2" t="s">
        <v>98</v>
      </c>
      <c r="Z13" s="3">
        <v>0.92</v>
      </c>
    </row>
    <row r="14" spans="5:26" ht="15">
      <c r="E14" s="34"/>
      <c r="F14" s="34"/>
      <c r="G14" s="34"/>
      <c r="H14" s="34"/>
      <c r="I14" s="43"/>
      <c r="J14" s="44"/>
      <c r="K14" s="44"/>
      <c r="L14" s="44"/>
      <c r="O14" s="2">
        <v>7.5</v>
      </c>
      <c r="P14" s="3">
        <v>0.89</v>
      </c>
      <c r="R14" s="128">
        <v>0.3334</v>
      </c>
      <c r="S14" s="27">
        <v>0.721</v>
      </c>
      <c r="T14" s="124">
        <v>0.25</v>
      </c>
      <c r="V14" s="8" t="s">
        <v>64</v>
      </c>
      <c r="W14" s="9">
        <v>8.64</v>
      </c>
      <c r="Y14" s="2" t="s">
        <v>99</v>
      </c>
      <c r="Z14" s="3">
        <v>0.93</v>
      </c>
    </row>
    <row r="15" spans="5:26" ht="15">
      <c r="E15" s="34"/>
      <c r="F15" s="34"/>
      <c r="G15" s="149" t="s">
        <v>146</v>
      </c>
      <c r="H15" s="149"/>
      <c r="I15" s="34"/>
      <c r="J15" s="130">
        <v>7.5</v>
      </c>
      <c r="K15" s="34"/>
      <c r="L15" s="34"/>
      <c r="O15" s="2">
        <v>10</v>
      </c>
      <c r="P15" s="3">
        <v>0.89</v>
      </c>
      <c r="R15" s="128">
        <v>0.5</v>
      </c>
      <c r="S15" s="27">
        <v>0.728</v>
      </c>
      <c r="T15" s="124">
        <v>0.3334</v>
      </c>
      <c r="V15" s="8" t="s">
        <v>59</v>
      </c>
      <c r="W15" s="9">
        <v>6.93</v>
      </c>
      <c r="Y15" s="2" t="s">
        <v>100</v>
      </c>
      <c r="Z15" s="3">
        <v>0.95</v>
      </c>
    </row>
    <row r="16" spans="5:26" ht="14.25">
      <c r="E16" s="34"/>
      <c r="F16" s="34"/>
      <c r="G16" s="34"/>
      <c r="H16" s="34"/>
      <c r="I16" s="34"/>
      <c r="J16" s="34"/>
      <c r="K16" s="34"/>
      <c r="L16" s="34"/>
      <c r="O16" s="2">
        <v>15</v>
      </c>
      <c r="P16" s="3">
        <v>0.85</v>
      </c>
      <c r="R16" s="128">
        <v>0.75</v>
      </c>
      <c r="S16" s="27">
        <v>0.769</v>
      </c>
      <c r="T16" s="124">
        <v>0.5</v>
      </c>
      <c r="V16" s="8" t="s">
        <v>72</v>
      </c>
      <c r="W16" s="9">
        <v>12.15</v>
      </c>
      <c r="Y16" s="2" t="s">
        <v>101</v>
      </c>
      <c r="Z16" s="3">
        <v>0.98</v>
      </c>
    </row>
    <row r="17" spans="5:23" ht="15">
      <c r="E17" s="34"/>
      <c r="F17" s="34"/>
      <c r="G17" s="40" t="s">
        <v>83</v>
      </c>
      <c r="H17" s="34"/>
      <c r="I17" s="34"/>
      <c r="J17" s="49">
        <v>0.8</v>
      </c>
      <c r="K17" s="34"/>
      <c r="L17" s="34"/>
      <c r="O17" s="2">
        <v>20</v>
      </c>
      <c r="P17" s="3">
        <v>0.81</v>
      </c>
      <c r="R17" s="128">
        <v>1</v>
      </c>
      <c r="S17" s="27">
        <v>0.773</v>
      </c>
      <c r="T17" s="124">
        <v>0.75</v>
      </c>
      <c r="V17" s="10" t="s">
        <v>65</v>
      </c>
      <c r="W17" s="11">
        <v>7.52</v>
      </c>
    </row>
    <row r="18" spans="5:23" ht="14.25">
      <c r="E18" s="34"/>
      <c r="F18" s="34"/>
      <c r="G18" s="34"/>
      <c r="H18" s="34"/>
      <c r="I18" s="34"/>
      <c r="J18" s="34"/>
      <c r="K18" s="34"/>
      <c r="L18" s="34"/>
      <c r="O18" s="2">
        <v>25</v>
      </c>
      <c r="P18" s="3">
        <v>0.78</v>
      </c>
      <c r="R18" s="128">
        <v>1.5</v>
      </c>
      <c r="S18" s="27">
        <v>0.9</v>
      </c>
      <c r="T18" s="124">
        <v>1</v>
      </c>
      <c r="V18" s="6" t="s">
        <v>81</v>
      </c>
      <c r="W18" s="7">
        <v>14.79</v>
      </c>
    </row>
    <row r="19" spans="5:23" ht="15">
      <c r="E19" s="34"/>
      <c r="F19" s="34"/>
      <c r="G19" s="40" t="s">
        <v>103</v>
      </c>
      <c r="H19" s="34"/>
      <c r="I19" s="34"/>
      <c r="J19" s="48" t="s">
        <v>102</v>
      </c>
      <c r="K19" s="34"/>
      <c r="L19" s="34"/>
      <c r="O19" s="2">
        <v>30</v>
      </c>
      <c r="P19" s="3">
        <v>0.78</v>
      </c>
      <c r="R19" s="128">
        <v>2</v>
      </c>
      <c r="S19" s="27">
        <v>0.824</v>
      </c>
      <c r="T19" s="124">
        <v>1.5</v>
      </c>
      <c r="V19" s="6" t="s">
        <v>45</v>
      </c>
      <c r="W19" s="7">
        <v>10.21</v>
      </c>
    </row>
    <row r="20" spans="5:23" ht="15" thickBot="1">
      <c r="E20" s="34"/>
      <c r="F20" s="34"/>
      <c r="G20" s="34"/>
      <c r="H20" s="34"/>
      <c r="I20" s="34"/>
      <c r="J20" s="34"/>
      <c r="K20" s="34"/>
      <c r="L20" s="34"/>
      <c r="O20" s="2">
        <v>40</v>
      </c>
      <c r="P20" s="3">
        <v>0.75</v>
      </c>
      <c r="R20" s="128">
        <v>3</v>
      </c>
      <c r="S20" s="27">
        <v>0.841</v>
      </c>
      <c r="T20" s="124">
        <v>2</v>
      </c>
      <c r="V20" s="8" t="s">
        <v>46</v>
      </c>
      <c r="W20" s="9">
        <v>11.35</v>
      </c>
    </row>
    <row r="21" spans="5:23" ht="14.25">
      <c r="E21" s="34"/>
      <c r="F21" s="34"/>
      <c r="G21" s="152"/>
      <c r="H21" s="168"/>
      <c r="I21" s="145" t="s">
        <v>7</v>
      </c>
      <c r="J21" s="170" t="s">
        <v>93</v>
      </c>
      <c r="K21" s="34"/>
      <c r="L21" s="34"/>
      <c r="O21" s="2">
        <v>50</v>
      </c>
      <c r="P21" s="3">
        <v>0.7</v>
      </c>
      <c r="R21" s="128">
        <v>5</v>
      </c>
      <c r="S21" s="27">
        <v>0.866</v>
      </c>
      <c r="T21" s="124">
        <v>3</v>
      </c>
      <c r="V21" s="10" t="s">
        <v>47</v>
      </c>
      <c r="W21" s="11">
        <v>10.5</v>
      </c>
    </row>
    <row r="22" spans="5:23" ht="14.25">
      <c r="E22" s="34"/>
      <c r="F22" s="34"/>
      <c r="G22" s="154"/>
      <c r="H22" s="169"/>
      <c r="I22" s="146"/>
      <c r="J22" s="171"/>
      <c r="K22" s="34"/>
      <c r="L22" s="34"/>
      <c r="O22" s="2" t="s">
        <v>9</v>
      </c>
      <c r="P22" s="3">
        <v>0.65</v>
      </c>
      <c r="R22" s="128">
        <v>7.5</v>
      </c>
      <c r="S22" s="27">
        <v>0.867</v>
      </c>
      <c r="T22" s="124">
        <v>5</v>
      </c>
      <c r="V22" s="6" t="s">
        <v>48</v>
      </c>
      <c r="W22" s="7">
        <v>7.58</v>
      </c>
    </row>
    <row r="23" spans="5:23" ht="14.25">
      <c r="E23" s="34"/>
      <c r="F23" s="34"/>
      <c r="G23" s="159" t="s">
        <v>84</v>
      </c>
      <c r="H23" s="172"/>
      <c r="I23" s="131">
        <f>J15</f>
        <v>7.5</v>
      </c>
      <c r="J23" s="133">
        <f>INDEX($R$12:$R$29,MATCH(VLOOKUP(J24/J26,$T$12:$T$29,TRUE,1),$T$12:$T$29,0))</f>
        <v>7.5</v>
      </c>
      <c r="K23" s="34"/>
      <c r="L23" s="34"/>
      <c r="R23" s="128">
        <v>10</v>
      </c>
      <c r="S23" s="27">
        <v>0.896</v>
      </c>
      <c r="T23" s="124">
        <v>7.5</v>
      </c>
      <c r="V23" s="8" t="s">
        <v>77</v>
      </c>
      <c r="W23" s="9">
        <v>20.55</v>
      </c>
    </row>
    <row r="24" spans="5:23" ht="14.25">
      <c r="E24" s="34"/>
      <c r="F24" s="34"/>
      <c r="G24" s="138" t="s">
        <v>147</v>
      </c>
      <c r="H24" s="139"/>
      <c r="I24" s="19">
        <f>I23*I25*I26*I30</f>
        <v>5.34</v>
      </c>
      <c r="J24" s="15">
        <f>I24</f>
        <v>5.34</v>
      </c>
      <c r="K24" s="34"/>
      <c r="L24" s="34"/>
      <c r="R24" s="128">
        <v>15</v>
      </c>
      <c r="S24" s="27">
        <v>0.904</v>
      </c>
      <c r="T24" s="124">
        <v>10</v>
      </c>
      <c r="V24" s="8" t="s">
        <v>66</v>
      </c>
      <c r="W24" s="9">
        <v>4.66</v>
      </c>
    </row>
    <row r="25" spans="5:23" ht="14.25">
      <c r="E25" s="34"/>
      <c r="F25" s="34"/>
      <c r="G25" s="159" t="s">
        <v>0</v>
      </c>
      <c r="H25" s="172"/>
      <c r="I25" s="20">
        <f>J17</f>
        <v>0.8</v>
      </c>
      <c r="J25" s="14">
        <f>J24/J26/J23</f>
        <v>0.7739130434782608</v>
      </c>
      <c r="K25" s="34"/>
      <c r="L25" s="34"/>
      <c r="P25" s="50">
        <v>1</v>
      </c>
      <c r="R25" s="128">
        <v>20</v>
      </c>
      <c r="S25" s="27">
        <v>0.916</v>
      </c>
      <c r="T25" s="124">
        <v>15</v>
      </c>
      <c r="V25" s="8" t="s">
        <v>31</v>
      </c>
      <c r="W25" s="9">
        <v>7.19</v>
      </c>
    </row>
    <row r="26" spans="5:23" ht="14.25" customHeight="1">
      <c r="E26" s="34"/>
      <c r="F26" s="34"/>
      <c r="G26" s="159" t="s">
        <v>151</v>
      </c>
      <c r="H26" s="160"/>
      <c r="I26" s="21">
        <f>VLOOKUP(J13,O13:P22,2,FALSE)</f>
        <v>0.89</v>
      </c>
      <c r="J26" s="16">
        <v>0.92</v>
      </c>
      <c r="K26" s="34"/>
      <c r="L26" s="34"/>
      <c r="P26" s="50">
        <v>0.9</v>
      </c>
      <c r="R26" s="128">
        <v>25</v>
      </c>
      <c r="S26" s="27">
        <v>0.907</v>
      </c>
      <c r="T26" s="124">
        <v>20</v>
      </c>
      <c r="V26" s="10" t="s">
        <v>32</v>
      </c>
      <c r="W26" s="11">
        <v>6.45</v>
      </c>
    </row>
    <row r="27" spans="5:23" ht="14.25">
      <c r="E27" s="34"/>
      <c r="F27" s="34"/>
      <c r="G27" s="159" t="s">
        <v>17</v>
      </c>
      <c r="H27" s="172"/>
      <c r="I27" s="21">
        <f>VLOOKUP(J15,R12:S29,2,FALSE)</f>
        <v>0.867</v>
      </c>
      <c r="J27" s="16">
        <f>VLOOKUP(J23,R12:S29,2,FALSE)</f>
        <v>0.867</v>
      </c>
      <c r="K27" s="34"/>
      <c r="L27" s="34"/>
      <c r="P27" s="50">
        <v>0.8</v>
      </c>
      <c r="R27" s="128">
        <v>30</v>
      </c>
      <c r="S27" s="27">
        <v>0.909</v>
      </c>
      <c r="T27" s="124">
        <v>25</v>
      </c>
      <c r="V27" s="6" t="s">
        <v>37</v>
      </c>
      <c r="W27" s="7">
        <v>6.71</v>
      </c>
    </row>
    <row r="28" spans="5:23" ht="14.25">
      <c r="E28" s="34"/>
      <c r="F28" s="34"/>
      <c r="G28" s="159" t="s">
        <v>2</v>
      </c>
      <c r="H28" s="172"/>
      <c r="I28" s="24">
        <v>5000</v>
      </c>
      <c r="J28" s="25">
        <v>5000</v>
      </c>
      <c r="K28" s="34"/>
      <c r="L28" s="34"/>
      <c r="P28" s="50">
        <v>0.7</v>
      </c>
      <c r="R28" s="128">
        <v>40</v>
      </c>
      <c r="S28" s="27">
        <v>0.922</v>
      </c>
      <c r="T28" s="124">
        <v>30</v>
      </c>
      <c r="V28" s="8" t="s">
        <v>38</v>
      </c>
      <c r="W28" s="9">
        <v>6.77</v>
      </c>
    </row>
    <row r="29" spans="5:23" ht="14.25">
      <c r="E29" s="34"/>
      <c r="F29" s="34"/>
      <c r="G29" s="159" t="s">
        <v>5</v>
      </c>
      <c r="H29" s="172"/>
      <c r="I29" s="22">
        <f>VLOOKUP(I11,V12:W64,2,FALSE)/100</f>
        <v>0.0466</v>
      </c>
      <c r="J29" s="17">
        <f>VLOOKUP(I11,V12:W64,2,FALSE)/100</f>
        <v>0.0466</v>
      </c>
      <c r="K29" s="34"/>
      <c r="L29" s="34"/>
      <c r="P29" s="50">
        <v>0.6</v>
      </c>
      <c r="R29" s="2"/>
      <c r="S29" s="27"/>
      <c r="T29" s="124">
        <v>40</v>
      </c>
      <c r="V29" s="8" t="s">
        <v>56</v>
      </c>
      <c r="W29" s="9">
        <v>5.37</v>
      </c>
    </row>
    <row r="30" spans="5:23" ht="15.75" customHeight="1">
      <c r="E30" s="34"/>
      <c r="F30" s="34"/>
      <c r="G30" s="138" t="s">
        <v>148</v>
      </c>
      <c r="H30" s="139"/>
      <c r="I30" s="58">
        <f>VLOOKUP(J19,Y12:Z16,2,FALSE)</f>
        <v>1</v>
      </c>
      <c r="J30" s="57">
        <v>1</v>
      </c>
      <c r="K30" s="34"/>
      <c r="L30" s="34"/>
      <c r="P30" s="50">
        <v>0.5</v>
      </c>
      <c r="R30" s="2"/>
      <c r="S30" s="27"/>
      <c r="T30" s="124"/>
      <c r="V30" s="8" t="s">
        <v>60</v>
      </c>
      <c r="W30" s="9">
        <v>9.1</v>
      </c>
    </row>
    <row r="31" spans="5:23" ht="15" customHeight="1" thickBot="1">
      <c r="E31" s="34"/>
      <c r="F31" s="34"/>
      <c r="G31" s="138" t="s">
        <v>149</v>
      </c>
      <c r="H31" s="139"/>
      <c r="I31" s="63">
        <v>100</v>
      </c>
      <c r="J31" s="62">
        <v>0</v>
      </c>
      <c r="K31" s="34"/>
      <c r="L31" s="34"/>
      <c r="P31" s="50">
        <v>0.4</v>
      </c>
      <c r="V31" s="8" t="s">
        <v>21</v>
      </c>
      <c r="W31" s="9">
        <v>12.15</v>
      </c>
    </row>
    <row r="32" spans="5:23" ht="15.75" thickBot="1">
      <c r="E32" s="34"/>
      <c r="F32" s="34"/>
      <c r="G32" s="140" t="s">
        <v>3</v>
      </c>
      <c r="H32" s="173"/>
      <c r="I32" s="23">
        <f>I23*I25*I28*I29/I27*0.746+I31</f>
        <v>1302.8927335640137</v>
      </c>
      <c r="J32" s="18">
        <f>J23*J25*J28*J29/J27*0.746</f>
        <v>1163.6679705130132</v>
      </c>
      <c r="K32" s="34"/>
      <c r="L32" s="34"/>
      <c r="P32" s="50">
        <v>0.3</v>
      </c>
      <c r="V32" s="8" t="s">
        <v>49</v>
      </c>
      <c r="W32" s="9">
        <v>10.78</v>
      </c>
    </row>
    <row r="33" spans="5:23" ht="15" thickBot="1">
      <c r="E33" s="34"/>
      <c r="F33" s="34"/>
      <c r="G33" s="34"/>
      <c r="H33" s="34"/>
      <c r="I33" s="34"/>
      <c r="J33" s="34"/>
      <c r="K33" s="34"/>
      <c r="L33" s="34"/>
      <c r="P33" s="50">
        <v>0.2</v>
      </c>
      <c r="V33" s="10" t="s">
        <v>22</v>
      </c>
      <c r="W33" s="11">
        <v>14.62</v>
      </c>
    </row>
    <row r="34" spans="5:23" ht="14.25" customHeight="1" thickBot="1">
      <c r="E34" s="34"/>
      <c r="F34" s="34"/>
      <c r="G34" s="142" t="s">
        <v>92</v>
      </c>
      <c r="H34" s="143"/>
      <c r="I34" s="144"/>
      <c r="J34" s="1">
        <f>I32-J32</f>
        <v>139.22476305100054</v>
      </c>
      <c r="K34" s="34"/>
      <c r="L34" s="34"/>
      <c r="P34" s="50">
        <v>0.1</v>
      </c>
      <c r="V34" s="6" t="s">
        <v>33</v>
      </c>
      <c r="W34" s="7">
        <v>8.24</v>
      </c>
    </row>
    <row r="35" spans="5:23" ht="12" customHeight="1">
      <c r="E35" s="34"/>
      <c r="F35" s="34"/>
      <c r="G35" s="34"/>
      <c r="H35" s="34"/>
      <c r="I35" s="34"/>
      <c r="J35" s="34"/>
      <c r="K35" s="34"/>
      <c r="L35" s="34"/>
      <c r="V35" s="8" t="s">
        <v>39</v>
      </c>
      <c r="W35" s="9">
        <v>6.81</v>
      </c>
    </row>
    <row r="36" spans="5:23" ht="15" thickBot="1">
      <c r="E36" s="34"/>
      <c r="F36" s="34"/>
      <c r="G36" s="34"/>
      <c r="H36" s="34"/>
      <c r="I36" s="34"/>
      <c r="J36" s="34"/>
      <c r="K36" s="34"/>
      <c r="L36" s="34"/>
      <c r="V36" s="8" t="s">
        <v>57</v>
      </c>
      <c r="W36" s="9">
        <v>7.55</v>
      </c>
    </row>
    <row r="37" spans="5:23" ht="15" customHeight="1" thickBot="1">
      <c r="E37" s="34"/>
      <c r="F37" s="34"/>
      <c r="G37" s="142" t="s">
        <v>4</v>
      </c>
      <c r="H37" s="143"/>
      <c r="I37" s="144"/>
      <c r="J37" s="26">
        <v>1000</v>
      </c>
      <c r="K37" s="34"/>
      <c r="L37" s="34"/>
      <c r="V37" s="8" t="s">
        <v>40</v>
      </c>
      <c r="W37" s="9">
        <v>5.83</v>
      </c>
    </row>
    <row r="38" spans="5:23" ht="14.25">
      <c r="E38" s="34"/>
      <c r="F38" s="34"/>
      <c r="G38" s="34"/>
      <c r="H38" s="34"/>
      <c r="I38" s="34"/>
      <c r="J38" s="34"/>
      <c r="K38" s="34"/>
      <c r="L38" s="34"/>
      <c r="V38" s="8" t="s">
        <v>67</v>
      </c>
      <c r="W38" s="9">
        <v>7.32</v>
      </c>
    </row>
    <row r="39" spans="5:23" ht="10.5" customHeight="1">
      <c r="E39" s="34"/>
      <c r="F39" s="34"/>
      <c r="G39" s="34"/>
      <c r="H39" s="34"/>
      <c r="I39" s="34"/>
      <c r="J39" s="34"/>
      <c r="K39" s="34"/>
      <c r="L39" s="34"/>
      <c r="V39" s="8" t="s">
        <v>41</v>
      </c>
      <c r="W39" s="9">
        <v>5.83</v>
      </c>
    </row>
    <row r="40" spans="5:23" ht="30" customHeight="1">
      <c r="E40" s="34"/>
      <c r="F40" s="165" t="s">
        <v>88</v>
      </c>
      <c r="G40" s="165"/>
      <c r="H40" s="165"/>
      <c r="I40" s="166"/>
      <c r="J40" s="163">
        <f>J34*J37</f>
        <v>139224.76305100054</v>
      </c>
      <c r="K40" s="164"/>
      <c r="L40" s="34"/>
      <c r="V40" s="8" t="s">
        <v>68</v>
      </c>
      <c r="W40" s="9">
        <v>9.59</v>
      </c>
    </row>
    <row r="41" spans="5:23" ht="14.25" customHeight="1">
      <c r="E41" s="34"/>
      <c r="F41" s="34"/>
      <c r="G41" s="34"/>
      <c r="H41" s="34"/>
      <c r="I41" s="34"/>
      <c r="J41" s="34"/>
      <c r="K41" s="34"/>
      <c r="L41" s="34"/>
      <c r="V41" s="8" t="s">
        <v>23</v>
      </c>
      <c r="W41" s="9">
        <v>13.53</v>
      </c>
    </row>
    <row r="42" spans="5:23" ht="14.25">
      <c r="E42" s="34"/>
      <c r="F42" s="34"/>
      <c r="G42" s="156" t="s">
        <v>91</v>
      </c>
      <c r="H42" s="157"/>
      <c r="I42" s="157"/>
      <c r="J42" s="157"/>
      <c r="K42" s="157"/>
      <c r="L42" s="34"/>
      <c r="V42" s="10" t="s">
        <v>27</v>
      </c>
      <c r="W42" s="11">
        <v>11.37</v>
      </c>
    </row>
    <row r="43" spans="5:23" ht="14.25">
      <c r="E43" s="34"/>
      <c r="F43" s="34"/>
      <c r="G43" s="136" t="s">
        <v>89</v>
      </c>
      <c r="H43" s="158"/>
      <c r="I43" s="158"/>
      <c r="J43" s="158"/>
      <c r="K43" s="158"/>
      <c r="L43" s="34"/>
      <c r="V43" s="6" t="s">
        <v>69</v>
      </c>
      <c r="W43" s="7">
        <v>7.66</v>
      </c>
    </row>
    <row r="44" spans="5:23" ht="14.25">
      <c r="E44" s="34"/>
      <c r="F44" s="34"/>
      <c r="G44" s="136" t="s">
        <v>90</v>
      </c>
      <c r="H44" s="137"/>
      <c r="I44" s="137"/>
      <c r="J44" s="137"/>
      <c r="K44" s="137"/>
      <c r="L44" s="34"/>
      <c r="V44" s="8" t="s">
        <v>28</v>
      </c>
      <c r="W44" s="9">
        <v>14.33</v>
      </c>
    </row>
    <row r="45" spans="5:23" ht="14.25">
      <c r="E45" s="34"/>
      <c r="F45" s="34"/>
      <c r="G45" s="136" t="s">
        <v>152</v>
      </c>
      <c r="H45" s="137"/>
      <c r="I45" s="137"/>
      <c r="J45" s="137"/>
      <c r="K45" s="137"/>
      <c r="L45" s="34"/>
      <c r="V45" s="8" t="s">
        <v>50</v>
      </c>
      <c r="W45" s="9">
        <v>7.68</v>
      </c>
    </row>
    <row r="46" spans="5:23" ht="14.25" customHeight="1">
      <c r="E46" s="34"/>
      <c r="F46" s="34"/>
      <c r="G46" s="136" t="s">
        <v>150</v>
      </c>
      <c r="H46" s="137"/>
      <c r="I46" s="137"/>
      <c r="J46" s="137"/>
      <c r="K46" s="137"/>
      <c r="L46" s="34"/>
      <c r="V46" s="10" t="s">
        <v>42</v>
      </c>
      <c r="W46" s="11">
        <v>6.21</v>
      </c>
    </row>
    <row r="47" spans="22:23" ht="14.25">
      <c r="V47" s="6" t="s">
        <v>34</v>
      </c>
      <c r="W47" s="7">
        <v>7.68</v>
      </c>
    </row>
    <row r="48" spans="22:23" ht="14.25">
      <c r="V48" s="8" t="s">
        <v>61</v>
      </c>
      <c r="W48" s="9">
        <v>7.13</v>
      </c>
    </row>
    <row r="49" spans="22:23" ht="14.25">
      <c r="V49" s="8" t="s">
        <v>73</v>
      </c>
      <c r="W49" s="9">
        <v>6.71</v>
      </c>
    </row>
    <row r="50" spans="22:23" ht="14.25">
      <c r="V50" s="10" t="s">
        <v>29</v>
      </c>
      <c r="W50" s="11">
        <v>8.48</v>
      </c>
    </row>
    <row r="51" spans="22:23" ht="14.25">
      <c r="V51" s="6" t="s">
        <v>24</v>
      </c>
      <c r="W51" s="7">
        <v>13.75</v>
      </c>
    </row>
    <row r="52" spans="22:23" ht="14.25">
      <c r="V52" s="8" t="s">
        <v>51</v>
      </c>
      <c r="W52" s="9">
        <v>7.09</v>
      </c>
    </row>
    <row r="53" spans="22:23" ht="14.25">
      <c r="V53" s="8" t="s">
        <v>43</v>
      </c>
      <c r="W53" s="9">
        <v>6.81</v>
      </c>
    </row>
    <row r="54" spans="22:23" ht="14.25">
      <c r="V54" s="8" t="s">
        <v>79</v>
      </c>
      <c r="W54" s="9">
        <v>7.02</v>
      </c>
    </row>
    <row r="55" spans="22:23" ht="14.25">
      <c r="V55" s="8" t="s">
        <v>62</v>
      </c>
      <c r="W55" s="9">
        <v>10.16</v>
      </c>
    </row>
    <row r="56" spans="22:23" ht="14.25">
      <c r="V56" s="8" t="s">
        <v>70</v>
      </c>
      <c r="W56" s="9">
        <v>6.06</v>
      </c>
    </row>
    <row r="57" spans="22:23" ht="14.25">
      <c r="V57" s="8" t="s">
        <v>25</v>
      </c>
      <c r="W57" s="9">
        <v>11.48</v>
      </c>
    </row>
    <row r="58" spans="22:23" ht="14.25">
      <c r="V58" s="10" t="s">
        <v>52</v>
      </c>
      <c r="W58" s="11">
        <v>6.78</v>
      </c>
    </row>
    <row r="59" spans="22:23" ht="14.25">
      <c r="V59" s="6" t="s">
        <v>74</v>
      </c>
      <c r="W59" s="7">
        <v>6.51</v>
      </c>
    </row>
    <row r="60" spans="22:23" ht="14.25">
      <c r="V60" s="8" t="s">
        <v>53</v>
      </c>
      <c r="W60" s="9">
        <v>5.08</v>
      </c>
    </row>
    <row r="61" spans="22:23" ht="14.25">
      <c r="V61" s="10" t="s">
        <v>35</v>
      </c>
      <c r="W61" s="11">
        <v>8.09</v>
      </c>
    </row>
    <row r="62" spans="22:23" ht="14.25">
      <c r="V62" s="10" t="s">
        <v>80</v>
      </c>
      <c r="W62" s="11">
        <v>5.49</v>
      </c>
    </row>
    <row r="63" spans="22:23" ht="14.25">
      <c r="V63" s="10"/>
      <c r="W63" s="11"/>
    </row>
    <row r="64" spans="22:23" ht="14.25">
      <c r="V64" s="10"/>
      <c r="W64" s="11"/>
    </row>
    <row r="65" spans="22:23" ht="15" thickBot="1">
      <c r="V65" s="12"/>
      <c r="W65" s="13"/>
    </row>
    <row r="66" spans="22:23" ht="15" thickBot="1">
      <c r="V66" s="4" t="s">
        <v>78</v>
      </c>
      <c r="W66" s="5">
        <v>8.83</v>
      </c>
    </row>
    <row r="67" spans="22:23" ht="15" thickBot="1">
      <c r="V67" s="4" t="s">
        <v>20</v>
      </c>
      <c r="W67" s="5">
        <v>14.12</v>
      </c>
    </row>
    <row r="68" spans="22:23" ht="15" thickBot="1">
      <c r="V68" s="4" t="s">
        <v>26</v>
      </c>
      <c r="W68" s="5">
        <v>11.43</v>
      </c>
    </row>
    <row r="69" spans="22:23" ht="15" thickBot="1">
      <c r="V69" s="4" t="s">
        <v>30</v>
      </c>
      <c r="W69" s="5">
        <v>7.5</v>
      </c>
    </row>
    <row r="70" spans="22:23" ht="15" thickBot="1">
      <c r="V70" s="4" t="s">
        <v>36</v>
      </c>
      <c r="W70" s="5">
        <v>6.39</v>
      </c>
    </row>
    <row r="71" spans="22:23" ht="15" thickBot="1">
      <c r="V71" s="4" t="s">
        <v>44</v>
      </c>
      <c r="W71" s="5">
        <v>8.56</v>
      </c>
    </row>
    <row r="72" spans="22:23" ht="15" thickBot="1">
      <c r="V72" s="4" t="s">
        <v>54</v>
      </c>
      <c r="W72" s="5">
        <v>6.54</v>
      </c>
    </row>
    <row r="73" spans="22:23" ht="15" thickBot="1">
      <c r="V73" s="4" t="s">
        <v>58</v>
      </c>
      <c r="W73" s="5">
        <v>9.41</v>
      </c>
    </row>
    <row r="74" spans="22:23" ht="15" thickBot="1">
      <c r="V74" s="4" t="s">
        <v>63</v>
      </c>
      <c r="W74" s="5">
        <v>7.61</v>
      </c>
    </row>
    <row r="75" spans="22:23" ht="15" thickBot="1">
      <c r="V75" s="4" t="s">
        <v>71</v>
      </c>
      <c r="W75" s="5">
        <v>10.45</v>
      </c>
    </row>
    <row r="76" spans="22:23" ht="15" thickBot="1">
      <c r="V76" s="4" t="s">
        <v>75</v>
      </c>
      <c r="W76" s="5">
        <v>17.78</v>
      </c>
    </row>
  </sheetData>
  <sheetProtection/>
  <mergeCells count="29">
    <mergeCell ref="G43:K43"/>
    <mergeCell ref="G44:K44"/>
    <mergeCell ref="G37:I37"/>
    <mergeCell ref="F40:I40"/>
    <mergeCell ref="J40:K40"/>
    <mergeCell ref="G42:K42"/>
    <mergeCell ref="G27:H27"/>
    <mergeCell ref="G28:H28"/>
    <mergeCell ref="G29:H29"/>
    <mergeCell ref="G32:H32"/>
    <mergeCell ref="G34:I34"/>
    <mergeCell ref="G30:H30"/>
    <mergeCell ref="G31:H31"/>
    <mergeCell ref="I21:I22"/>
    <mergeCell ref="J21:J22"/>
    <mergeCell ref="G23:H23"/>
    <mergeCell ref="G25:H25"/>
    <mergeCell ref="G26:H26"/>
    <mergeCell ref="G24:H24"/>
    <mergeCell ref="G45:K45"/>
    <mergeCell ref="G46:K46"/>
    <mergeCell ref="G3:H3"/>
    <mergeCell ref="G4:H4"/>
    <mergeCell ref="G5:H5"/>
    <mergeCell ref="E9:L9"/>
    <mergeCell ref="I11:J11"/>
    <mergeCell ref="G13:H13"/>
    <mergeCell ref="G15:H15"/>
    <mergeCell ref="G21:H22"/>
  </mergeCells>
  <dataValidations count="5">
    <dataValidation type="list" allowBlank="1" showInputMessage="1" showErrorMessage="1" sqref="J13">
      <formula1>$O$13:$O$22</formula1>
    </dataValidation>
    <dataValidation type="list" allowBlank="1" showInputMessage="1" showErrorMessage="1" sqref="J15">
      <formula1>$R$12:$R$28</formula1>
    </dataValidation>
    <dataValidation type="list" allowBlank="1" showInputMessage="1" showErrorMessage="1" sqref="I11">
      <formula1>$V$12:$V$62</formula1>
    </dataValidation>
    <dataValidation type="list" allowBlank="1" showInputMessage="1" showErrorMessage="1" sqref="J17">
      <formula1>$P$25:$P$34</formula1>
    </dataValidation>
    <dataValidation type="list" allowBlank="1" showInputMessage="1" showErrorMessage="1" sqref="J19">
      <formula1>$Y$12:$Y$16</formula1>
    </dataValidation>
  </dataValidations>
  <printOptions horizontalCentered="1" verticalCentered="1"/>
  <pageMargins left="0.75" right="0.75" top="1" bottom="1" header="0.5" footer="0.5"/>
  <pageSetup fitToHeight="1" fitToWidth="1" horizontalDpi="600" verticalDpi="600" orientation="portrait" scale="91" r:id="rId2"/>
  <colBreaks count="1" manualBreakCount="1">
    <brk id="1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E1:Z75"/>
  <sheetViews>
    <sheetView zoomScalePageLayoutView="0" workbookViewId="0" topLeftCell="A10">
      <selection activeCell="I27" sqref="I27"/>
    </sheetView>
  </sheetViews>
  <sheetFormatPr defaultColWidth="9.00390625" defaultRowHeight="13.5"/>
  <cols>
    <col min="1" max="4" width="9.00390625" style="35" customWidth="1"/>
    <col min="5" max="6" width="10.375" style="35" customWidth="1"/>
    <col min="7" max="7" width="9.00390625" style="35" customWidth="1"/>
    <col min="8" max="8" width="12.625" style="35" customWidth="1"/>
    <col min="9" max="9" width="11.25390625" style="35" bestFit="1" customWidth="1"/>
    <col min="10" max="10" width="11.75390625" style="35" bestFit="1" customWidth="1"/>
    <col min="11" max="12" width="10.375" style="35" customWidth="1"/>
    <col min="13" max="14" width="9.00390625" style="35" customWidth="1"/>
    <col min="15" max="15" width="6.375" style="35" hidden="1" customWidth="1"/>
    <col min="16" max="16" width="11.50390625" style="35" hidden="1" customWidth="1"/>
    <col min="17" max="17" width="9.00390625" style="35" hidden="1" customWidth="1"/>
    <col min="18" max="18" width="9.00390625" style="36" hidden="1" customWidth="1"/>
    <col min="19" max="20" width="11.50390625" style="37" hidden="1" customWidth="1"/>
    <col min="21" max="21" width="9.00390625" style="35" hidden="1" customWidth="1"/>
    <col min="22" max="22" width="32.75390625" style="38" hidden="1" customWidth="1"/>
    <col min="23" max="23" width="9.00390625" style="38" hidden="1" customWidth="1"/>
    <col min="24" max="24" width="9.00390625" style="35" hidden="1" customWidth="1"/>
    <col min="25" max="25" width="12.625" style="35" hidden="1" customWidth="1"/>
    <col min="26" max="26" width="11.50390625" style="35" hidden="1" customWidth="1"/>
    <col min="27" max="16384" width="9.00390625" style="35" customWidth="1"/>
  </cols>
  <sheetData>
    <row r="1" spans="5:12" ht="14.25">
      <c r="E1" s="34"/>
      <c r="F1" s="34"/>
      <c r="G1" s="34"/>
      <c r="H1" s="34"/>
      <c r="I1" s="34"/>
      <c r="J1" s="34"/>
      <c r="K1" s="34"/>
      <c r="L1" s="34"/>
    </row>
    <row r="2" spans="5:12" ht="14.25">
      <c r="E2" s="34"/>
      <c r="F2" s="34"/>
      <c r="G2" s="34"/>
      <c r="H2" s="34"/>
      <c r="I2" s="34"/>
      <c r="J2" s="34"/>
      <c r="K2" s="34"/>
      <c r="L2" s="34"/>
    </row>
    <row r="3" spans="5:12" ht="14.25">
      <c r="E3" s="34"/>
      <c r="F3" s="39" t="s">
        <v>85</v>
      </c>
      <c r="G3" s="161"/>
      <c r="H3" s="162"/>
      <c r="I3" s="34"/>
      <c r="J3" s="34"/>
      <c r="K3" s="34"/>
      <c r="L3" s="34"/>
    </row>
    <row r="4" spans="5:12" ht="14.25">
      <c r="E4" s="34"/>
      <c r="F4" s="39" t="s">
        <v>86</v>
      </c>
      <c r="G4" s="161"/>
      <c r="H4" s="162"/>
      <c r="I4" s="34"/>
      <c r="J4" s="34"/>
      <c r="K4" s="34"/>
      <c r="L4" s="34"/>
    </row>
    <row r="5" spans="5:12" ht="14.25">
      <c r="E5" s="34"/>
      <c r="F5" s="39" t="s">
        <v>87</v>
      </c>
      <c r="G5" s="161"/>
      <c r="H5" s="162"/>
      <c r="I5" s="34"/>
      <c r="J5" s="34"/>
      <c r="K5" s="34"/>
      <c r="L5" s="34"/>
    </row>
    <row r="6" spans="5:12" ht="14.25">
      <c r="E6" s="34"/>
      <c r="F6" s="34"/>
      <c r="G6" s="34"/>
      <c r="H6" s="34"/>
      <c r="I6" s="34"/>
      <c r="J6" s="34"/>
      <c r="K6" s="34"/>
      <c r="L6" s="34"/>
    </row>
    <row r="7" spans="5:12" ht="14.25">
      <c r="E7" s="34"/>
      <c r="F7" s="34"/>
      <c r="G7" s="34"/>
      <c r="H7" s="34"/>
      <c r="I7" s="34"/>
      <c r="J7" s="34"/>
      <c r="K7" s="34"/>
      <c r="L7" s="34"/>
    </row>
    <row r="8" spans="5:12" ht="14.25">
      <c r="E8" s="34"/>
      <c r="F8" s="34"/>
      <c r="G8" s="34"/>
      <c r="H8" s="34"/>
      <c r="I8" s="34"/>
      <c r="J8" s="34"/>
      <c r="K8" s="34"/>
      <c r="L8" s="34"/>
    </row>
    <row r="9" spans="5:12" ht="20.25">
      <c r="E9" s="167" t="s">
        <v>94</v>
      </c>
      <c r="F9" s="167"/>
      <c r="G9" s="167"/>
      <c r="H9" s="167"/>
      <c r="I9" s="167"/>
      <c r="J9" s="167"/>
      <c r="K9" s="167"/>
      <c r="L9" s="167"/>
    </row>
    <row r="10" spans="5:12" ht="15" thickBot="1">
      <c r="E10" s="34"/>
      <c r="F10" s="34"/>
      <c r="G10" s="34"/>
      <c r="H10" s="34"/>
      <c r="I10" s="34"/>
      <c r="J10" s="34"/>
      <c r="K10" s="34"/>
      <c r="L10" s="34"/>
    </row>
    <row r="11" spans="5:26" ht="26.25">
      <c r="E11" s="34"/>
      <c r="F11" s="34"/>
      <c r="G11" s="40" t="s">
        <v>13</v>
      </c>
      <c r="H11" s="34"/>
      <c r="I11" s="150" t="s">
        <v>32</v>
      </c>
      <c r="J11" s="151"/>
      <c r="K11" s="34"/>
      <c r="L11" s="34"/>
      <c r="O11" s="2" t="s">
        <v>8</v>
      </c>
      <c r="P11" s="2" t="s">
        <v>1</v>
      </c>
      <c r="R11" s="2" t="s">
        <v>12</v>
      </c>
      <c r="S11" s="2" t="s">
        <v>1</v>
      </c>
      <c r="T11" s="123" t="s">
        <v>12</v>
      </c>
      <c r="V11" s="41" t="s">
        <v>18</v>
      </c>
      <c r="W11" s="42" t="s">
        <v>19</v>
      </c>
      <c r="Y11" s="2" t="s">
        <v>97</v>
      </c>
      <c r="Z11" s="2" t="s">
        <v>1</v>
      </c>
    </row>
    <row r="12" spans="5:26" ht="15">
      <c r="E12" s="34"/>
      <c r="F12" s="34"/>
      <c r="G12" s="34"/>
      <c r="H12" s="34"/>
      <c r="I12" s="43"/>
      <c r="J12" s="44"/>
      <c r="K12" s="45"/>
      <c r="L12" s="46"/>
      <c r="O12" s="2"/>
      <c r="P12" s="2"/>
      <c r="R12" s="128">
        <v>0.125</v>
      </c>
      <c r="S12" s="3">
        <v>0.64</v>
      </c>
      <c r="T12" s="124">
        <v>0</v>
      </c>
      <c r="V12" s="6" t="s">
        <v>55</v>
      </c>
      <c r="W12" s="7">
        <v>6.64</v>
      </c>
      <c r="Y12" s="2" t="s">
        <v>102</v>
      </c>
      <c r="Z12" s="3">
        <v>1</v>
      </c>
    </row>
    <row r="13" spans="5:26" ht="15">
      <c r="E13" s="34"/>
      <c r="F13" s="34"/>
      <c r="G13" s="149" t="s">
        <v>11</v>
      </c>
      <c r="H13" s="149"/>
      <c r="I13" s="47" t="s">
        <v>10</v>
      </c>
      <c r="J13" s="51">
        <v>5</v>
      </c>
      <c r="K13" s="34"/>
      <c r="L13" s="34"/>
      <c r="O13" s="2">
        <v>5</v>
      </c>
      <c r="P13" s="3">
        <v>0.92</v>
      </c>
      <c r="R13" s="128">
        <v>0.25</v>
      </c>
      <c r="S13" s="3">
        <v>0.697</v>
      </c>
      <c r="T13" s="124">
        <v>0.125</v>
      </c>
      <c r="V13" s="8" t="s">
        <v>76</v>
      </c>
      <c r="W13" s="9">
        <v>12.66</v>
      </c>
      <c r="Y13" s="2" t="s">
        <v>98</v>
      </c>
      <c r="Z13" s="3">
        <v>0.92</v>
      </c>
    </row>
    <row r="14" spans="5:26" ht="15">
      <c r="E14" s="34"/>
      <c r="F14" s="34"/>
      <c r="G14" s="34"/>
      <c r="H14" s="34"/>
      <c r="I14" s="43"/>
      <c r="J14" s="44"/>
      <c r="K14" s="44"/>
      <c r="L14" s="44"/>
      <c r="O14" s="2">
        <v>7.5</v>
      </c>
      <c r="P14" s="3">
        <v>0.89</v>
      </c>
      <c r="R14" s="128">
        <v>0.3334</v>
      </c>
      <c r="S14" s="3">
        <v>0.721</v>
      </c>
      <c r="T14" s="124">
        <v>0.25</v>
      </c>
      <c r="V14" s="8" t="s">
        <v>64</v>
      </c>
      <c r="W14" s="9">
        <v>8.64</v>
      </c>
      <c r="Y14" s="2" t="s">
        <v>99</v>
      </c>
      <c r="Z14" s="3">
        <v>0.93</v>
      </c>
    </row>
    <row r="15" spans="5:26" ht="15">
      <c r="E15" s="34"/>
      <c r="F15" s="34"/>
      <c r="G15" s="149" t="s">
        <v>82</v>
      </c>
      <c r="H15" s="149"/>
      <c r="I15" s="34"/>
      <c r="J15" s="135">
        <v>3</v>
      </c>
      <c r="K15" s="34"/>
      <c r="L15" s="34"/>
      <c r="O15" s="2">
        <v>10</v>
      </c>
      <c r="P15" s="3">
        <v>0.89</v>
      </c>
      <c r="R15" s="128">
        <v>0.5</v>
      </c>
      <c r="S15" s="3">
        <v>0.728</v>
      </c>
      <c r="T15" s="124">
        <v>0.3334</v>
      </c>
      <c r="V15" s="8" t="s">
        <v>59</v>
      </c>
      <c r="W15" s="9">
        <v>6.93</v>
      </c>
      <c r="Y15" s="2" t="s">
        <v>100</v>
      </c>
      <c r="Z15" s="3">
        <v>0.95</v>
      </c>
    </row>
    <row r="16" spans="5:26" ht="14.25">
      <c r="E16" s="34"/>
      <c r="F16" s="34"/>
      <c r="G16" s="34"/>
      <c r="H16" s="34"/>
      <c r="I16" s="34"/>
      <c r="J16" s="34"/>
      <c r="K16" s="34"/>
      <c r="L16" s="34"/>
      <c r="O16" s="2">
        <v>15</v>
      </c>
      <c r="P16" s="3">
        <v>0.85</v>
      </c>
      <c r="R16" s="128">
        <v>0.75</v>
      </c>
      <c r="S16" s="3">
        <v>0.769</v>
      </c>
      <c r="T16" s="124">
        <v>0.5</v>
      </c>
      <c r="V16" s="8" t="s">
        <v>72</v>
      </c>
      <c r="W16" s="9">
        <v>12.15</v>
      </c>
      <c r="Y16" s="2" t="s">
        <v>101</v>
      </c>
      <c r="Z16" s="3">
        <v>0.98</v>
      </c>
    </row>
    <row r="17" spans="5:23" ht="15">
      <c r="E17" s="34"/>
      <c r="F17" s="34"/>
      <c r="G17" s="40" t="s">
        <v>83</v>
      </c>
      <c r="H17" s="34"/>
      <c r="I17" s="34"/>
      <c r="J17" s="49">
        <v>0.8</v>
      </c>
      <c r="K17" s="34"/>
      <c r="L17" s="34"/>
      <c r="O17" s="2">
        <v>20</v>
      </c>
      <c r="P17" s="3">
        <v>0.81</v>
      </c>
      <c r="R17" s="128">
        <v>1</v>
      </c>
      <c r="S17" s="3">
        <v>0.773</v>
      </c>
      <c r="T17" s="124">
        <v>0.75</v>
      </c>
      <c r="V17" s="10" t="s">
        <v>65</v>
      </c>
      <c r="W17" s="11">
        <v>7.52</v>
      </c>
    </row>
    <row r="18" spans="5:23" ht="14.25">
      <c r="E18" s="34"/>
      <c r="F18" s="34"/>
      <c r="G18" s="34"/>
      <c r="H18" s="34"/>
      <c r="I18" s="34"/>
      <c r="J18" s="34"/>
      <c r="K18" s="34"/>
      <c r="L18" s="34"/>
      <c r="O18" s="2">
        <v>25</v>
      </c>
      <c r="P18" s="3">
        <v>0.78</v>
      </c>
      <c r="R18" s="128">
        <v>1.5</v>
      </c>
      <c r="S18" s="3">
        <v>0.9</v>
      </c>
      <c r="T18" s="124">
        <v>1</v>
      </c>
      <c r="V18" s="6" t="s">
        <v>81</v>
      </c>
      <c r="W18" s="7">
        <v>14.79</v>
      </c>
    </row>
    <row r="19" spans="5:23" ht="15">
      <c r="E19" s="34"/>
      <c r="F19" s="34"/>
      <c r="G19" s="40" t="s">
        <v>103</v>
      </c>
      <c r="H19" s="34"/>
      <c r="I19" s="34"/>
      <c r="J19" s="59" t="s">
        <v>102</v>
      </c>
      <c r="K19" s="34"/>
      <c r="L19" s="34"/>
      <c r="O19" s="2">
        <v>30</v>
      </c>
      <c r="P19" s="3">
        <v>0.78</v>
      </c>
      <c r="R19" s="128">
        <v>2</v>
      </c>
      <c r="S19" s="3">
        <v>0.824</v>
      </c>
      <c r="T19" s="124">
        <v>1.5</v>
      </c>
      <c r="V19" s="6" t="s">
        <v>45</v>
      </c>
      <c r="W19" s="7">
        <v>10.21</v>
      </c>
    </row>
    <row r="20" spans="5:23" ht="15" thickBot="1">
      <c r="E20" s="34"/>
      <c r="F20" s="34"/>
      <c r="G20" s="34"/>
      <c r="H20" s="34"/>
      <c r="I20" s="34"/>
      <c r="J20" s="34"/>
      <c r="K20" s="34"/>
      <c r="L20" s="34"/>
      <c r="O20" s="2">
        <v>40</v>
      </c>
      <c r="P20" s="3">
        <v>0.75</v>
      </c>
      <c r="R20" s="128">
        <v>3</v>
      </c>
      <c r="S20" s="3">
        <v>0.841</v>
      </c>
      <c r="T20" s="124">
        <v>2</v>
      </c>
      <c r="V20" s="8" t="s">
        <v>46</v>
      </c>
      <c r="W20" s="9">
        <v>11.35</v>
      </c>
    </row>
    <row r="21" spans="5:23" ht="14.25">
      <c r="E21" s="34"/>
      <c r="F21" s="34"/>
      <c r="G21" s="152"/>
      <c r="H21" s="168"/>
      <c r="I21" s="145" t="s">
        <v>7</v>
      </c>
      <c r="J21" s="174" t="s">
        <v>93</v>
      </c>
      <c r="K21" s="34"/>
      <c r="L21" s="34"/>
      <c r="O21" s="2">
        <v>50</v>
      </c>
      <c r="P21" s="3">
        <v>0.7</v>
      </c>
      <c r="R21" s="128">
        <v>5</v>
      </c>
      <c r="S21" s="3">
        <v>0.866</v>
      </c>
      <c r="T21" s="124">
        <v>3</v>
      </c>
      <c r="V21" s="10" t="s">
        <v>47</v>
      </c>
      <c r="W21" s="11">
        <v>10.5</v>
      </c>
    </row>
    <row r="22" spans="5:23" ht="14.25">
      <c r="E22" s="34"/>
      <c r="F22" s="34"/>
      <c r="G22" s="154"/>
      <c r="H22" s="169"/>
      <c r="I22" s="146"/>
      <c r="J22" s="175"/>
      <c r="K22" s="34"/>
      <c r="L22" s="34"/>
      <c r="O22" s="2" t="s">
        <v>9</v>
      </c>
      <c r="P22" s="3">
        <v>0.65</v>
      </c>
      <c r="R22" s="128">
        <v>7.5</v>
      </c>
      <c r="S22" s="3">
        <v>0.867</v>
      </c>
      <c r="T22" s="124">
        <v>5</v>
      </c>
      <c r="V22" s="6" t="s">
        <v>48</v>
      </c>
      <c r="W22" s="7">
        <v>7.58</v>
      </c>
    </row>
    <row r="23" spans="5:23" ht="14.25">
      <c r="E23" s="34"/>
      <c r="F23" s="34"/>
      <c r="G23" s="159" t="s">
        <v>84</v>
      </c>
      <c r="H23" s="172"/>
      <c r="I23" s="131">
        <f>J15</f>
        <v>3</v>
      </c>
      <c r="J23" s="133">
        <f>INDEX($R$12:$R$29,MATCH(VLOOKUP(J24/J26,$T$12:$T$29,TRUE,1),$T$12:$T$29,0))</f>
        <v>3</v>
      </c>
      <c r="K23" s="34"/>
      <c r="L23" s="34"/>
      <c r="R23" s="128">
        <v>10</v>
      </c>
      <c r="S23" s="3">
        <v>0.896</v>
      </c>
      <c r="T23" s="124">
        <v>7.5</v>
      </c>
      <c r="V23" s="8" t="s">
        <v>77</v>
      </c>
      <c r="W23" s="9">
        <v>20.55</v>
      </c>
    </row>
    <row r="24" spans="5:23" ht="14.25">
      <c r="E24" s="34"/>
      <c r="F24" s="34"/>
      <c r="G24" s="138" t="s">
        <v>147</v>
      </c>
      <c r="H24" s="139"/>
      <c r="I24" s="19">
        <f>I23*I25*I26*I30</f>
        <v>2.4000000000000004</v>
      </c>
      <c r="J24" s="15">
        <f>I24</f>
        <v>2.4000000000000004</v>
      </c>
      <c r="K24" s="34"/>
      <c r="L24" s="34"/>
      <c r="R24" s="128">
        <v>15</v>
      </c>
      <c r="S24" s="3">
        <v>0.904</v>
      </c>
      <c r="T24" s="124">
        <v>10</v>
      </c>
      <c r="V24" s="8" t="s">
        <v>66</v>
      </c>
      <c r="W24" s="9">
        <v>4.66</v>
      </c>
    </row>
    <row r="25" spans="5:23" ht="14.25">
      <c r="E25" s="34"/>
      <c r="F25" s="34"/>
      <c r="G25" s="159" t="s">
        <v>0</v>
      </c>
      <c r="H25" s="172"/>
      <c r="I25" s="28">
        <f>J17</f>
        <v>0.8</v>
      </c>
      <c r="J25" s="29">
        <f>J24/J26/J23</f>
        <v>0.8000000000000002</v>
      </c>
      <c r="K25" s="34"/>
      <c r="L25" s="34"/>
      <c r="P25" s="50">
        <v>1</v>
      </c>
      <c r="R25" s="134">
        <v>20</v>
      </c>
      <c r="S25" s="125">
        <v>0.904</v>
      </c>
      <c r="T25" s="124">
        <v>15</v>
      </c>
      <c r="V25" s="8" t="s">
        <v>31</v>
      </c>
      <c r="W25" s="9">
        <v>7.19</v>
      </c>
    </row>
    <row r="26" spans="5:23" ht="14.25">
      <c r="E26" s="34"/>
      <c r="F26" s="34"/>
      <c r="G26" s="159" t="s">
        <v>151</v>
      </c>
      <c r="H26" s="172"/>
      <c r="I26" s="30">
        <v>1</v>
      </c>
      <c r="J26" s="31">
        <v>1</v>
      </c>
      <c r="K26" s="34"/>
      <c r="L26" s="34"/>
      <c r="P26" s="50">
        <v>0.9</v>
      </c>
      <c r="R26" s="134">
        <v>25</v>
      </c>
      <c r="S26" s="126"/>
      <c r="T26" s="127">
        <v>20</v>
      </c>
      <c r="V26" s="10" t="s">
        <v>32</v>
      </c>
      <c r="W26" s="11">
        <v>6.45</v>
      </c>
    </row>
    <row r="27" spans="5:23" ht="14.25">
      <c r="E27" s="34"/>
      <c r="F27" s="34"/>
      <c r="G27" s="159" t="s">
        <v>17</v>
      </c>
      <c r="H27" s="172"/>
      <c r="I27" s="32">
        <v>1</v>
      </c>
      <c r="J27" s="33">
        <v>1</v>
      </c>
      <c r="K27" s="34"/>
      <c r="L27" s="34"/>
      <c r="P27" s="50">
        <v>0.8</v>
      </c>
      <c r="R27" s="134">
        <v>30</v>
      </c>
      <c r="S27" s="126"/>
      <c r="T27" s="127">
        <v>25</v>
      </c>
      <c r="V27" s="6" t="s">
        <v>37</v>
      </c>
      <c r="W27" s="7">
        <v>6.71</v>
      </c>
    </row>
    <row r="28" spans="5:23" ht="14.25">
      <c r="E28" s="34"/>
      <c r="F28" s="34"/>
      <c r="G28" s="159" t="s">
        <v>2</v>
      </c>
      <c r="H28" s="172"/>
      <c r="I28" s="24">
        <v>5000</v>
      </c>
      <c r="J28" s="25">
        <v>5000</v>
      </c>
      <c r="K28" s="34"/>
      <c r="L28" s="34"/>
      <c r="P28" s="50">
        <v>0.7</v>
      </c>
      <c r="R28" s="134">
        <v>40</v>
      </c>
      <c r="S28" s="126"/>
      <c r="T28" s="127">
        <v>30</v>
      </c>
      <c r="V28" s="8" t="s">
        <v>38</v>
      </c>
      <c r="W28" s="9">
        <v>6.77</v>
      </c>
    </row>
    <row r="29" spans="5:23" ht="14.25">
      <c r="E29" s="34"/>
      <c r="F29" s="34"/>
      <c r="G29" s="159" t="s">
        <v>5</v>
      </c>
      <c r="H29" s="172"/>
      <c r="I29" s="22">
        <f>VLOOKUP(I11,V12:W63,2,FALSE)/100</f>
        <v>0.0645</v>
      </c>
      <c r="J29" s="17">
        <f>VLOOKUP(I11,V12:W63,2,FALSE)/100</f>
        <v>0.0645</v>
      </c>
      <c r="K29" s="34"/>
      <c r="L29" s="34"/>
      <c r="P29" s="50">
        <v>0.6</v>
      </c>
      <c r="R29" s="134">
        <v>50</v>
      </c>
      <c r="S29" s="126"/>
      <c r="T29" s="127">
        <v>40</v>
      </c>
      <c r="V29" s="8" t="s">
        <v>56</v>
      </c>
      <c r="W29" s="9">
        <v>5.37</v>
      </c>
    </row>
    <row r="30" spans="5:23" ht="15.75" customHeight="1">
      <c r="E30" s="34"/>
      <c r="F30" s="34"/>
      <c r="G30" s="138" t="s">
        <v>148</v>
      </c>
      <c r="H30" s="139"/>
      <c r="I30" s="60">
        <v>1</v>
      </c>
      <c r="J30" s="61">
        <v>1</v>
      </c>
      <c r="K30" s="34"/>
      <c r="L30" s="34"/>
      <c r="P30" s="50">
        <v>0.5</v>
      </c>
      <c r="R30" s="134">
        <v>60</v>
      </c>
      <c r="S30" s="126"/>
      <c r="T30" s="127">
        <v>50</v>
      </c>
      <c r="V30" s="8" t="s">
        <v>60</v>
      </c>
      <c r="W30" s="9">
        <v>9.1</v>
      </c>
    </row>
    <row r="31" spans="5:23" ht="15" customHeight="1" thickBot="1">
      <c r="E31" s="34"/>
      <c r="F31" s="34"/>
      <c r="G31" s="138" t="s">
        <v>149</v>
      </c>
      <c r="H31" s="139"/>
      <c r="I31" s="63">
        <v>0</v>
      </c>
      <c r="J31" s="64">
        <v>0</v>
      </c>
      <c r="K31" s="34"/>
      <c r="L31" s="34"/>
      <c r="P31" s="50">
        <v>0.4</v>
      </c>
      <c r="R31" s="134">
        <v>75</v>
      </c>
      <c r="S31" s="126"/>
      <c r="T31" s="127">
        <v>60</v>
      </c>
      <c r="V31" s="8" t="s">
        <v>21</v>
      </c>
      <c r="W31" s="9">
        <v>12.15</v>
      </c>
    </row>
    <row r="32" spans="5:23" ht="15.75" thickBot="1">
      <c r="E32" s="34"/>
      <c r="F32" s="34"/>
      <c r="G32" s="140" t="s">
        <v>3</v>
      </c>
      <c r="H32" s="173"/>
      <c r="I32" s="23">
        <f>IF(ISERROR(I23*I25*I28*I29/I27*0.746),"",I23*I25*I28*I29/I27*0.746+I31)</f>
        <v>577.4040000000001</v>
      </c>
      <c r="J32" s="18">
        <f>IF(ISERROR(J23*J25*J28*J29/J27*0.746),"",J23*J25*J28*J29/J27*0.746)</f>
        <v>577.4040000000001</v>
      </c>
      <c r="K32" s="34"/>
      <c r="L32" s="34"/>
      <c r="P32" s="50">
        <v>0.3</v>
      </c>
      <c r="R32" s="134" t="s">
        <v>153</v>
      </c>
      <c r="S32" s="126"/>
      <c r="T32" s="127">
        <v>75</v>
      </c>
      <c r="V32" s="8" t="s">
        <v>49</v>
      </c>
      <c r="W32" s="9">
        <v>10.78</v>
      </c>
    </row>
    <row r="33" spans="5:23" ht="15" thickBot="1">
      <c r="E33" s="34"/>
      <c r="F33" s="34"/>
      <c r="G33" s="34"/>
      <c r="H33" s="34"/>
      <c r="I33" s="34"/>
      <c r="J33" s="34"/>
      <c r="K33" s="34"/>
      <c r="L33" s="34"/>
      <c r="P33" s="50">
        <v>0.2</v>
      </c>
      <c r="V33" s="10" t="s">
        <v>22</v>
      </c>
      <c r="W33" s="11">
        <v>14.62</v>
      </c>
    </row>
    <row r="34" spans="5:23" ht="17.25" customHeight="1" thickBot="1">
      <c r="E34" s="34"/>
      <c r="F34" s="34"/>
      <c r="G34" s="142" t="s">
        <v>92</v>
      </c>
      <c r="H34" s="143"/>
      <c r="I34" s="144"/>
      <c r="J34" s="1">
        <f>IF(ISERROR(I32-J32),"",I32-J32)</f>
        <v>0</v>
      </c>
      <c r="K34" s="34"/>
      <c r="L34" s="34"/>
      <c r="P34" s="50">
        <v>0.1</v>
      </c>
      <c r="V34" s="6" t="s">
        <v>33</v>
      </c>
      <c r="W34" s="7">
        <v>8.24</v>
      </c>
    </row>
    <row r="35" spans="5:23" ht="14.25">
      <c r="E35" s="34"/>
      <c r="F35" s="34"/>
      <c r="G35" s="34"/>
      <c r="H35" s="34"/>
      <c r="I35" s="34"/>
      <c r="J35" s="34"/>
      <c r="K35" s="34"/>
      <c r="L35" s="34"/>
      <c r="V35" s="8" t="s">
        <v>39</v>
      </c>
      <c r="W35" s="9">
        <v>6.81</v>
      </c>
    </row>
    <row r="36" spans="5:23" ht="15" thickBot="1">
      <c r="E36" s="34"/>
      <c r="F36" s="34"/>
      <c r="G36" s="34"/>
      <c r="H36" s="34"/>
      <c r="I36" s="34"/>
      <c r="J36" s="34"/>
      <c r="K36" s="34"/>
      <c r="L36" s="34"/>
      <c r="V36" s="8" t="s">
        <v>57</v>
      </c>
      <c r="W36" s="9">
        <v>7.55</v>
      </c>
    </row>
    <row r="37" spans="5:23" ht="13.5" customHeight="1" thickBot="1">
      <c r="E37" s="34"/>
      <c r="F37" s="34"/>
      <c r="G37" s="142" t="s">
        <v>4</v>
      </c>
      <c r="H37" s="143"/>
      <c r="I37" s="144"/>
      <c r="J37" s="26">
        <v>1000</v>
      </c>
      <c r="K37" s="34"/>
      <c r="L37" s="34"/>
      <c r="V37" s="8" t="s">
        <v>40</v>
      </c>
      <c r="W37" s="9">
        <v>5.83</v>
      </c>
    </row>
    <row r="38" spans="5:23" ht="14.25">
      <c r="E38" s="34"/>
      <c r="F38" s="34"/>
      <c r="G38" s="34"/>
      <c r="H38" s="34"/>
      <c r="I38" s="34"/>
      <c r="J38" s="34"/>
      <c r="K38" s="34"/>
      <c r="L38" s="34"/>
      <c r="V38" s="8" t="s">
        <v>67</v>
      </c>
      <c r="W38" s="9">
        <v>7.32</v>
      </c>
    </row>
    <row r="39" spans="5:23" ht="10.5" customHeight="1">
      <c r="E39" s="34"/>
      <c r="F39" s="34"/>
      <c r="G39" s="34"/>
      <c r="H39" s="34"/>
      <c r="I39" s="34"/>
      <c r="J39" s="34"/>
      <c r="K39" s="34"/>
      <c r="L39" s="34"/>
      <c r="V39" s="8" t="s">
        <v>41</v>
      </c>
      <c r="W39" s="9">
        <v>5.83</v>
      </c>
    </row>
    <row r="40" spans="5:23" ht="33" customHeight="1">
      <c r="E40" s="34"/>
      <c r="F40" s="165" t="s">
        <v>88</v>
      </c>
      <c r="G40" s="165"/>
      <c r="H40" s="165"/>
      <c r="I40" s="166"/>
      <c r="J40" s="163">
        <f>IF(ISERROR(J34*J37),"",J34*J37)</f>
        <v>0</v>
      </c>
      <c r="K40" s="164"/>
      <c r="L40" s="34"/>
      <c r="V40" s="8" t="s">
        <v>68</v>
      </c>
      <c r="W40" s="9">
        <v>9.59</v>
      </c>
    </row>
    <row r="41" spans="5:23" ht="16.5" customHeight="1">
      <c r="E41" s="34"/>
      <c r="F41" s="34"/>
      <c r="G41" s="34"/>
      <c r="H41" s="34"/>
      <c r="I41" s="34"/>
      <c r="J41" s="34"/>
      <c r="K41" s="34"/>
      <c r="L41" s="34"/>
      <c r="V41" s="8" t="s">
        <v>23</v>
      </c>
      <c r="W41" s="9">
        <v>13.53</v>
      </c>
    </row>
    <row r="42" spans="5:23" ht="14.25">
      <c r="E42" s="34"/>
      <c r="F42" s="34"/>
      <c r="G42" s="156" t="s">
        <v>91</v>
      </c>
      <c r="H42" s="157"/>
      <c r="I42" s="157"/>
      <c r="J42" s="157"/>
      <c r="K42" s="157"/>
      <c r="L42" s="34"/>
      <c r="V42" s="10" t="s">
        <v>27</v>
      </c>
      <c r="W42" s="11">
        <v>11.37</v>
      </c>
    </row>
    <row r="43" spans="5:23" ht="14.25">
      <c r="E43" s="34"/>
      <c r="F43" s="34"/>
      <c r="G43" s="136" t="s">
        <v>89</v>
      </c>
      <c r="H43" s="158"/>
      <c r="I43" s="158"/>
      <c r="J43" s="158"/>
      <c r="K43" s="158"/>
      <c r="L43" s="34"/>
      <c r="V43" s="6" t="s">
        <v>69</v>
      </c>
      <c r="W43" s="7">
        <v>7.66</v>
      </c>
    </row>
    <row r="44" spans="5:23" ht="14.25">
      <c r="E44" s="34"/>
      <c r="F44" s="34"/>
      <c r="G44" s="136" t="s">
        <v>90</v>
      </c>
      <c r="H44" s="137"/>
      <c r="I44" s="137"/>
      <c r="J44" s="137"/>
      <c r="K44" s="137"/>
      <c r="L44" s="34"/>
      <c r="V44" s="8" t="s">
        <v>28</v>
      </c>
      <c r="W44" s="9">
        <v>14.33</v>
      </c>
    </row>
    <row r="45" spans="5:23" ht="14.25" customHeight="1">
      <c r="E45" s="34"/>
      <c r="F45" s="34"/>
      <c r="G45" s="136" t="s">
        <v>152</v>
      </c>
      <c r="H45" s="137"/>
      <c r="I45" s="137"/>
      <c r="J45" s="137"/>
      <c r="K45" s="137"/>
      <c r="L45" s="34"/>
      <c r="V45" s="8" t="s">
        <v>50</v>
      </c>
      <c r="W45" s="9">
        <v>7.68</v>
      </c>
    </row>
    <row r="46" spans="5:23" ht="14.25" customHeight="1">
      <c r="E46" s="34"/>
      <c r="F46" s="34"/>
      <c r="G46" s="136" t="s">
        <v>150</v>
      </c>
      <c r="H46" s="137"/>
      <c r="I46" s="137"/>
      <c r="J46" s="137"/>
      <c r="K46" s="137"/>
      <c r="L46" s="34"/>
      <c r="V46" s="10" t="s">
        <v>42</v>
      </c>
      <c r="W46" s="11">
        <v>6.21</v>
      </c>
    </row>
    <row r="47" spans="22:23" ht="14.25">
      <c r="V47" s="6" t="s">
        <v>34</v>
      </c>
      <c r="W47" s="7">
        <v>7.68</v>
      </c>
    </row>
    <row r="48" spans="22:23" ht="14.25">
      <c r="V48" s="8" t="s">
        <v>61</v>
      </c>
      <c r="W48" s="9">
        <v>7.13</v>
      </c>
    </row>
    <row r="49" spans="22:23" ht="14.25">
      <c r="V49" s="8" t="s">
        <v>73</v>
      </c>
      <c r="W49" s="9">
        <v>6.71</v>
      </c>
    </row>
    <row r="50" spans="22:23" ht="14.25">
      <c r="V50" s="10" t="s">
        <v>29</v>
      </c>
      <c r="W50" s="11">
        <v>8.48</v>
      </c>
    </row>
    <row r="51" spans="22:23" ht="14.25">
      <c r="V51" s="6" t="s">
        <v>24</v>
      </c>
      <c r="W51" s="7">
        <v>13.75</v>
      </c>
    </row>
    <row r="52" spans="22:23" ht="14.25">
      <c r="V52" s="8" t="s">
        <v>51</v>
      </c>
      <c r="W52" s="9">
        <v>7.09</v>
      </c>
    </row>
    <row r="53" spans="22:23" ht="14.25">
      <c r="V53" s="8" t="s">
        <v>43</v>
      </c>
      <c r="W53" s="9">
        <v>6.81</v>
      </c>
    </row>
    <row r="54" spans="22:23" ht="14.25">
      <c r="V54" s="8" t="s">
        <v>79</v>
      </c>
      <c r="W54" s="9">
        <v>7.02</v>
      </c>
    </row>
    <row r="55" spans="22:23" ht="14.25">
      <c r="V55" s="8" t="s">
        <v>62</v>
      </c>
      <c r="W55" s="9">
        <v>10.16</v>
      </c>
    </row>
    <row r="56" spans="22:23" ht="14.25">
      <c r="V56" s="8" t="s">
        <v>70</v>
      </c>
      <c r="W56" s="9">
        <v>6.06</v>
      </c>
    </row>
    <row r="57" spans="22:23" ht="14.25">
      <c r="V57" s="8" t="s">
        <v>25</v>
      </c>
      <c r="W57" s="9">
        <v>11.48</v>
      </c>
    </row>
    <row r="58" spans="22:23" ht="14.25">
      <c r="V58" s="10" t="s">
        <v>52</v>
      </c>
      <c r="W58" s="11">
        <v>6.78</v>
      </c>
    </row>
    <row r="59" spans="22:23" ht="14.25">
      <c r="V59" s="6" t="s">
        <v>74</v>
      </c>
      <c r="W59" s="7">
        <v>6.51</v>
      </c>
    </row>
    <row r="60" spans="22:23" ht="14.25">
      <c r="V60" s="8" t="s">
        <v>53</v>
      </c>
      <c r="W60" s="9">
        <v>5.08</v>
      </c>
    </row>
    <row r="61" spans="22:23" ht="14.25">
      <c r="V61" s="10" t="s">
        <v>35</v>
      </c>
      <c r="W61" s="11">
        <v>8.09</v>
      </c>
    </row>
    <row r="62" spans="22:23" ht="14.25">
      <c r="V62" s="10" t="s">
        <v>80</v>
      </c>
      <c r="W62" s="11">
        <v>5.49</v>
      </c>
    </row>
    <row r="63" spans="22:23" ht="14.25">
      <c r="V63" s="10"/>
      <c r="W63" s="11"/>
    </row>
    <row r="64" spans="22:23" ht="15" thickBot="1">
      <c r="V64" s="12"/>
      <c r="W64" s="13"/>
    </row>
    <row r="65" spans="22:23" ht="15" thickBot="1">
      <c r="V65" s="4" t="s">
        <v>78</v>
      </c>
      <c r="W65" s="5">
        <v>8.83</v>
      </c>
    </row>
    <row r="66" spans="22:23" ht="15" thickBot="1">
      <c r="V66" s="4" t="s">
        <v>20</v>
      </c>
      <c r="W66" s="5">
        <v>14.12</v>
      </c>
    </row>
    <row r="67" spans="22:23" ht="15" thickBot="1">
      <c r="V67" s="4" t="s">
        <v>26</v>
      </c>
      <c r="W67" s="5">
        <v>11.43</v>
      </c>
    </row>
    <row r="68" spans="22:23" ht="15" thickBot="1">
      <c r="V68" s="4" t="s">
        <v>30</v>
      </c>
      <c r="W68" s="5">
        <v>7.5</v>
      </c>
    </row>
    <row r="69" spans="22:23" ht="15" thickBot="1">
      <c r="V69" s="4" t="s">
        <v>36</v>
      </c>
      <c r="W69" s="5">
        <v>6.39</v>
      </c>
    </row>
    <row r="70" spans="22:23" ht="15" thickBot="1">
      <c r="V70" s="4" t="s">
        <v>44</v>
      </c>
      <c r="W70" s="5">
        <v>8.56</v>
      </c>
    </row>
    <row r="71" spans="22:23" ht="15" thickBot="1">
      <c r="V71" s="4" t="s">
        <v>54</v>
      </c>
      <c r="W71" s="5">
        <v>6.54</v>
      </c>
    </row>
    <row r="72" spans="22:23" ht="15" thickBot="1">
      <c r="V72" s="4" t="s">
        <v>58</v>
      </c>
      <c r="W72" s="5">
        <v>9.41</v>
      </c>
    </row>
    <row r="73" spans="22:23" ht="15" thickBot="1">
      <c r="V73" s="4" t="s">
        <v>63</v>
      </c>
      <c r="W73" s="5">
        <v>7.61</v>
      </c>
    </row>
    <row r="74" spans="22:23" ht="15" thickBot="1">
      <c r="V74" s="4" t="s">
        <v>71</v>
      </c>
      <c r="W74" s="5">
        <v>10.45</v>
      </c>
    </row>
    <row r="75" spans="22:23" ht="15" thickBot="1">
      <c r="V75" s="4" t="s">
        <v>75</v>
      </c>
      <c r="W75" s="5">
        <v>17.78</v>
      </c>
    </row>
  </sheetData>
  <sheetProtection/>
  <mergeCells count="29">
    <mergeCell ref="G43:K43"/>
    <mergeCell ref="G44:K44"/>
    <mergeCell ref="G37:I37"/>
    <mergeCell ref="F40:I40"/>
    <mergeCell ref="J40:K40"/>
    <mergeCell ref="G42:K42"/>
    <mergeCell ref="G27:H27"/>
    <mergeCell ref="G28:H28"/>
    <mergeCell ref="G29:H29"/>
    <mergeCell ref="G32:H32"/>
    <mergeCell ref="G34:I34"/>
    <mergeCell ref="G30:H30"/>
    <mergeCell ref="G31:H31"/>
    <mergeCell ref="I21:I22"/>
    <mergeCell ref="J21:J22"/>
    <mergeCell ref="G23:H23"/>
    <mergeCell ref="G25:H25"/>
    <mergeCell ref="G26:H26"/>
    <mergeCell ref="G24:H24"/>
    <mergeCell ref="G46:K46"/>
    <mergeCell ref="G45:K45"/>
    <mergeCell ref="G3:H3"/>
    <mergeCell ref="G4:H4"/>
    <mergeCell ref="G5:H5"/>
    <mergeCell ref="E9:L9"/>
    <mergeCell ref="I11:J11"/>
    <mergeCell ref="G13:H13"/>
    <mergeCell ref="G15:H15"/>
    <mergeCell ref="G21:H22"/>
  </mergeCells>
  <dataValidations count="5">
    <dataValidation type="list" allowBlank="1" showInputMessage="1" showErrorMessage="1" promptTitle="MANUALLY ENTER" prompt="You must manually enter gearbox efficiency below." sqref="J13">
      <formula1>$O$13:$O$22</formula1>
    </dataValidation>
    <dataValidation type="list" allowBlank="1" showInputMessage="1" showErrorMessage="1" promptTitle="ENTER MANUALLY" prompt="You must manually enter motor efficiency below." sqref="J15">
      <formula1>$R$12:$R$24</formula1>
    </dataValidation>
    <dataValidation type="list" allowBlank="1" showInputMessage="1" showErrorMessage="1" sqref="I11">
      <formula1>$V$12:$V$62</formula1>
    </dataValidation>
    <dataValidation type="list" allowBlank="1" showInputMessage="1" showErrorMessage="1" sqref="J17">
      <formula1>$P$25:$P$34</formula1>
    </dataValidation>
    <dataValidation type="list" allowBlank="1" showInputMessage="1" showErrorMessage="1" sqref="J19">
      <formula1>$Y$12:$Y$16</formula1>
    </dataValidation>
  </dataValidations>
  <printOptions horizontalCentered="1" verticalCentered="1"/>
  <pageMargins left="0.75" right="0.75" top="1" bottom="1" header="0.5" footer="0.5"/>
  <pageSetup fitToHeight="1" fitToWidth="1" horizontalDpi="600" verticalDpi="600" orientation="portrait" r:id="rId2"/>
  <colBreaks count="1" manualBreakCount="1">
    <brk id="12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Q27"/>
  <sheetViews>
    <sheetView zoomScalePageLayoutView="0" workbookViewId="0" topLeftCell="A1">
      <selection activeCell="B2" sqref="B2:D2"/>
    </sheetView>
  </sheetViews>
  <sheetFormatPr defaultColWidth="9.00390625" defaultRowHeight="17.25" customHeight="1"/>
  <cols>
    <col min="1" max="1" width="3.625" style="0" customWidth="1"/>
    <col min="2" max="2" width="34.625" style="0" bestFit="1" customWidth="1"/>
    <col min="3" max="3" width="12.375" style="0" bestFit="1" customWidth="1"/>
    <col min="4" max="4" width="12.00390625" style="0" customWidth="1"/>
    <col min="5" max="5" width="8.375" style="0" bestFit="1" customWidth="1"/>
    <col min="6" max="6" width="30.25390625" style="0" bestFit="1" customWidth="1"/>
    <col min="7" max="7" width="10.125" style="0" bestFit="1" customWidth="1"/>
    <col min="8" max="12" width="9.50390625" style="0" bestFit="1" customWidth="1"/>
    <col min="17" max="17" width="0" style="0" hidden="1" customWidth="1"/>
  </cols>
  <sheetData>
    <row r="2" spans="2:6" ht="21" customHeight="1">
      <c r="B2" s="176" t="s">
        <v>93</v>
      </c>
      <c r="C2" s="176"/>
      <c r="D2" s="176"/>
      <c r="F2" s="65" t="s">
        <v>122</v>
      </c>
    </row>
    <row r="4" ht="17.25" customHeight="1" thickBot="1">
      <c r="Q4" s="65" t="s">
        <v>120</v>
      </c>
    </row>
    <row r="5" spans="2:17" ht="17.25" customHeight="1" thickBot="1">
      <c r="B5" s="113" t="s">
        <v>112</v>
      </c>
      <c r="C5" s="115" t="s">
        <v>110</v>
      </c>
      <c r="D5" s="115" t="s">
        <v>111</v>
      </c>
      <c r="F5" s="110" t="s">
        <v>133</v>
      </c>
      <c r="G5" s="111" t="s">
        <v>125</v>
      </c>
      <c r="H5" s="111" t="s">
        <v>126</v>
      </c>
      <c r="I5" s="111" t="s">
        <v>127</v>
      </c>
      <c r="J5" s="111" t="s">
        <v>128</v>
      </c>
      <c r="K5" s="111" t="s">
        <v>129</v>
      </c>
      <c r="L5" s="112" t="s">
        <v>130</v>
      </c>
      <c r="Q5" s="65" t="s">
        <v>93</v>
      </c>
    </row>
    <row r="6" spans="2:17" ht="17.25" customHeight="1" thickBot="1">
      <c r="B6" s="85" t="s">
        <v>113</v>
      </c>
      <c r="C6" s="96">
        <v>500</v>
      </c>
      <c r="D6" s="96">
        <v>1200</v>
      </c>
      <c r="F6" s="82" t="s">
        <v>110</v>
      </c>
      <c r="G6" s="71"/>
      <c r="H6" s="71"/>
      <c r="I6" s="84"/>
      <c r="J6" s="71"/>
      <c r="K6" s="71"/>
      <c r="L6" s="72"/>
      <c r="Q6" s="65" t="s">
        <v>121</v>
      </c>
    </row>
    <row r="7" spans="2:12" ht="17.25" customHeight="1" thickBot="1">
      <c r="B7" s="85" t="s">
        <v>114</v>
      </c>
      <c r="C7" s="96">
        <v>100</v>
      </c>
      <c r="D7" s="89">
        <v>0</v>
      </c>
      <c r="F7" s="83" t="s">
        <v>135</v>
      </c>
      <c r="G7" s="98">
        <f>C15*-1</f>
        <v>-995</v>
      </c>
      <c r="H7" s="98" t="s">
        <v>134</v>
      </c>
      <c r="I7" s="98" t="s">
        <v>134</v>
      </c>
      <c r="J7" s="98" t="s">
        <v>134</v>
      </c>
      <c r="K7" s="98" t="s">
        <v>134</v>
      </c>
      <c r="L7" s="99" t="s">
        <v>134</v>
      </c>
    </row>
    <row r="8" spans="2:12" ht="17.25" customHeight="1" thickBot="1">
      <c r="B8" s="68" t="s">
        <v>131</v>
      </c>
      <c r="C8" s="97">
        <v>150</v>
      </c>
      <c r="D8" s="97">
        <v>75</v>
      </c>
      <c r="F8" s="77" t="s">
        <v>137</v>
      </c>
      <c r="G8" s="100" t="s">
        <v>134</v>
      </c>
      <c r="H8" s="100">
        <f>$C$25+$C$26</f>
        <v>60</v>
      </c>
      <c r="I8" s="100">
        <f>$C$25+$C$26</f>
        <v>60</v>
      </c>
      <c r="J8" s="100">
        <f>$C$25+$C$26</f>
        <v>60</v>
      </c>
      <c r="K8" s="100">
        <f>$C$25+$C$26</f>
        <v>60</v>
      </c>
      <c r="L8" s="101">
        <f>$C$25+$C$26</f>
        <v>60</v>
      </c>
    </row>
    <row r="9" spans="2:12" ht="17.25" customHeight="1" thickBot="1">
      <c r="B9" s="67" t="s">
        <v>109</v>
      </c>
      <c r="C9" s="90">
        <f>IF($B$2="Hyponic",Hyponic!$I$31,IF($B$2="BBB",BBB!$I$31,IF($B$2="Generic",GENERIC!$I$31,"Select Prodcut")))</f>
        <v>100</v>
      </c>
      <c r="D9" s="86">
        <v>0</v>
      </c>
      <c r="F9" s="77" t="s">
        <v>136</v>
      </c>
      <c r="G9" s="100" t="s">
        <v>134</v>
      </c>
      <c r="H9" s="100">
        <f>$C$23</f>
        <v>1202.8927335640137</v>
      </c>
      <c r="I9" s="100">
        <f>$C$23</f>
        <v>1202.8927335640137</v>
      </c>
      <c r="J9" s="100">
        <f>$C$23</f>
        <v>1202.8927335640137</v>
      </c>
      <c r="K9" s="100">
        <f>$C$23</f>
        <v>1202.8927335640137</v>
      </c>
      <c r="L9" s="101">
        <f>$C$23</f>
        <v>1202.8927335640137</v>
      </c>
    </row>
    <row r="10" spans="2:12" ht="17.25" customHeight="1" thickBot="1">
      <c r="B10" s="68" t="s">
        <v>104</v>
      </c>
      <c r="C10" s="96">
        <v>40</v>
      </c>
      <c r="D10" s="88">
        <v>0</v>
      </c>
      <c r="F10" s="80"/>
      <c r="G10" s="102"/>
      <c r="H10" s="102"/>
      <c r="I10" s="102"/>
      <c r="J10" s="102"/>
      <c r="K10" s="102"/>
      <c r="L10" s="103"/>
    </row>
    <row r="11" spans="2:12" ht="17.25" customHeight="1" thickBot="1">
      <c r="B11" s="68" t="s">
        <v>105</v>
      </c>
      <c r="C11" s="96">
        <v>60</v>
      </c>
      <c r="D11" s="88">
        <v>0</v>
      </c>
      <c r="F11" s="82" t="s">
        <v>111</v>
      </c>
      <c r="G11" s="104"/>
      <c r="H11" s="104"/>
      <c r="I11" s="104"/>
      <c r="J11" s="104"/>
      <c r="K11" s="104"/>
      <c r="L11" s="105"/>
    </row>
    <row r="12" spans="2:12" ht="17.25" customHeight="1" thickBot="1">
      <c r="B12" s="68" t="s">
        <v>106</v>
      </c>
      <c r="C12" s="96">
        <v>30</v>
      </c>
      <c r="D12" s="88">
        <v>0</v>
      </c>
      <c r="F12" s="81" t="s">
        <v>135</v>
      </c>
      <c r="G12" s="98">
        <f>D15*-1</f>
        <v>-1275</v>
      </c>
      <c r="H12" s="98" t="s">
        <v>134</v>
      </c>
      <c r="I12" s="98" t="s">
        <v>134</v>
      </c>
      <c r="J12" s="98" t="s">
        <v>134</v>
      </c>
      <c r="K12" s="98" t="s">
        <v>134</v>
      </c>
      <c r="L12" s="99" t="s">
        <v>134</v>
      </c>
    </row>
    <row r="13" spans="2:12" ht="17.25" customHeight="1" thickBot="1">
      <c r="B13" s="68" t="s">
        <v>107</v>
      </c>
      <c r="C13" s="96">
        <v>5</v>
      </c>
      <c r="D13" s="88">
        <v>0</v>
      </c>
      <c r="F13" s="77" t="s">
        <v>137</v>
      </c>
      <c r="G13" s="100" t="s">
        <v>134</v>
      </c>
      <c r="H13" s="100" t="s">
        <v>134</v>
      </c>
      <c r="I13" s="100" t="s">
        <v>134</v>
      </c>
      <c r="J13" s="100" t="s">
        <v>134</v>
      </c>
      <c r="K13" s="100" t="s">
        <v>134</v>
      </c>
      <c r="L13" s="101" t="s">
        <v>134</v>
      </c>
    </row>
    <row r="14" spans="2:12" ht="17.25" customHeight="1" thickBot="1">
      <c r="B14" s="92" t="s">
        <v>108</v>
      </c>
      <c r="C14" s="96">
        <v>10</v>
      </c>
      <c r="D14" s="93">
        <v>0</v>
      </c>
      <c r="F14" s="77" t="s">
        <v>136</v>
      </c>
      <c r="G14" s="100" t="s">
        <v>134</v>
      </c>
      <c r="H14" s="100">
        <f>$D$23</f>
        <v>1163.6679705130132</v>
      </c>
      <c r="I14" s="100">
        <f>$D$23</f>
        <v>1163.6679705130132</v>
      </c>
      <c r="J14" s="100">
        <f>$D$23</f>
        <v>1163.6679705130132</v>
      </c>
      <c r="K14" s="100">
        <f>$D$23</f>
        <v>1163.6679705130132</v>
      </c>
      <c r="L14" s="101">
        <f>$D$23</f>
        <v>1163.6679705130132</v>
      </c>
    </row>
    <row r="15" spans="2:12" ht="17.25" customHeight="1" thickBot="1">
      <c r="B15" s="70" t="s">
        <v>132</v>
      </c>
      <c r="C15" s="75">
        <f>SUM(C6:C14)</f>
        <v>995</v>
      </c>
      <c r="D15" s="76">
        <f>SUM(D6:D14)</f>
        <v>1275</v>
      </c>
      <c r="F15" s="80"/>
      <c r="G15" s="102"/>
      <c r="H15" s="102"/>
      <c r="I15" s="102"/>
      <c r="J15" s="102"/>
      <c r="K15" s="102"/>
      <c r="L15" s="103"/>
    </row>
    <row r="16" spans="6:12" ht="17.25" customHeight="1" thickBot="1">
      <c r="F16" s="106" t="s">
        <v>138</v>
      </c>
      <c r="G16" s="107">
        <f>G12-G7</f>
        <v>-280</v>
      </c>
      <c r="H16" s="108">
        <f>H8+H9-H14</f>
        <v>99.22476305100054</v>
      </c>
      <c r="I16" s="108">
        <f>I8+I9-I14</f>
        <v>99.22476305100054</v>
      </c>
      <c r="J16" s="108">
        <f>J8+J9-J14</f>
        <v>99.22476305100054</v>
      </c>
      <c r="K16" s="108">
        <f>K8+K9-K14</f>
        <v>99.22476305100054</v>
      </c>
      <c r="L16" s="109">
        <f>L8+L9-L14</f>
        <v>99.22476305100054</v>
      </c>
    </row>
    <row r="17" spans="2:12" ht="17.25" customHeight="1" thickBot="1">
      <c r="B17" s="73"/>
      <c r="C17" s="74"/>
      <c r="D17" s="74"/>
      <c r="F17" s="79" t="s">
        <v>139</v>
      </c>
      <c r="G17" s="178">
        <f>SUM(G16:L16)</f>
        <v>216.12381525500268</v>
      </c>
      <c r="H17" s="179"/>
      <c r="I17" s="179"/>
      <c r="J17" s="179"/>
      <c r="K17" s="179"/>
      <c r="L17" s="180"/>
    </row>
    <row r="18" spans="2:12" ht="17.25" customHeight="1" thickBot="1">
      <c r="B18" s="73"/>
      <c r="C18" s="74"/>
      <c r="D18" s="74"/>
      <c r="F18" s="79" t="s">
        <v>140</v>
      </c>
      <c r="G18" s="178">
        <f>IF($B$2="Hyponic",$G$17*Hyponic!$J$36,IF($B$2="BBB",$G$17*BBB!$J$37,IF($B$2="Generic",$G$17*GENERIC!$J$37,"")))</f>
        <v>216123.81525500267</v>
      </c>
      <c r="H18" s="179"/>
      <c r="I18" s="179"/>
      <c r="J18" s="179"/>
      <c r="K18" s="179"/>
      <c r="L18" s="180"/>
    </row>
    <row r="19" spans="6:12" ht="17.25" customHeight="1">
      <c r="F19" s="181" t="s">
        <v>141</v>
      </c>
      <c r="G19" s="181"/>
      <c r="H19" s="181"/>
      <c r="I19" s="181"/>
      <c r="J19" s="181"/>
      <c r="K19" s="181"/>
      <c r="L19" s="181"/>
    </row>
    <row r="21" spans="2:12" ht="17.25" customHeight="1" thickBot="1">
      <c r="B21" s="113" t="s">
        <v>115</v>
      </c>
      <c r="C21" s="114" t="s">
        <v>110</v>
      </c>
      <c r="D21" s="115" t="s">
        <v>111</v>
      </c>
      <c r="F21" s="116" t="s">
        <v>123</v>
      </c>
      <c r="G21" s="115" t="s">
        <v>125</v>
      </c>
      <c r="H21" s="115" t="s">
        <v>126</v>
      </c>
      <c r="I21" s="115" t="s">
        <v>127</v>
      </c>
      <c r="J21" s="115" t="s">
        <v>128</v>
      </c>
      <c r="K21" s="115" t="s">
        <v>129</v>
      </c>
      <c r="L21" s="115" t="s">
        <v>130</v>
      </c>
    </row>
    <row r="22" spans="2:12" ht="17.25" customHeight="1" thickBot="1">
      <c r="B22" s="66" t="s">
        <v>113</v>
      </c>
      <c r="C22" s="94">
        <v>0</v>
      </c>
      <c r="D22" s="97">
        <f>D6</f>
        <v>1200</v>
      </c>
      <c r="F22" s="117" t="s">
        <v>144</v>
      </c>
      <c r="G22" s="118">
        <f>(D22+D24)*-1</f>
        <v>-1350</v>
      </c>
      <c r="H22" s="118"/>
      <c r="I22" s="118"/>
      <c r="J22" s="118"/>
      <c r="K22" s="118"/>
      <c r="L22" s="119"/>
    </row>
    <row r="23" spans="2:12" ht="17.25" customHeight="1" thickBot="1">
      <c r="B23" s="67" t="s">
        <v>119</v>
      </c>
      <c r="C23" s="69">
        <f>IF($B$2="Hyponic",Hyponic!$I$32-Hyponic!$I$31,IF($B$2="BBB",BBB!$I$32-BBB!$I$31,IF($B$2="Generic",GENERIC!$I$32-GENERIC!$I$31,"Select Prodcut")))</f>
        <v>1202.8927335640137</v>
      </c>
      <c r="D23" s="91">
        <f>IF($B$2="Hyponic",Hyponic!$J$32,IF($B$2="BBB",BBB!$J$32,IF($B$2="Generic",GENERIC!$J$32,"Select Prodcut")))</f>
        <v>1163.6679705130132</v>
      </c>
      <c r="F23" s="78" t="s">
        <v>145</v>
      </c>
      <c r="G23" s="100"/>
      <c r="H23" s="100">
        <f>H16</f>
        <v>99.22476305100054</v>
      </c>
      <c r="I23" s="100">
        <f>I16</f>
        <v>99.22476305100054</v>
      </c>
      <c r="J23" s="100">
        <f>J16</f>
        <v>99.22476305100054</v>
      </c>
      <c r="K23" s="100">
        <f>K16</f>
        <v>99.22476305100054</v>
      </c>
      <c r="L23" s="101">
        <f>L16</f>
        <v>99.22476305100054</v>
      </c>
    </row>
    <row r="24" spans="2:12" ht="17.25" customHeight="1" thickBot="1">
      <c r="B24" s="67" t="s">
        <v>117</v>
      </c>
      <c r="C24" s="95">
        <f>IF($B$2="Hyponic",Hyponic!$I$31,IF($B$2="BBB",BBB!$I$31,IF($B$2="Generic",GENERIC!$I$31,"Select Prodcut")))</f>
        <v>100</v>
      </c>
      <c r="D24" s="97">
        <v>150</v>
      </c>
      <c r="F24" s="80"/>
      <c r="G24" s="120"/>
      <c r="H24" s="120"/>
      <c r="I24" s="120"/>
      <c r="J24" s="120"/>
      <c r="K24" s="120"/>
      <c r="L24" s="121"/>
    </row>
    <row r="25" spans="2:12" ht="17.25" customHeight="1" thickBot="1">
      <c r="B25" s="68" t="s">
        <v>116</v>
      </c>
      <c r="C25" s="97">
        <v>50</v>
      </c>
      <c r="D25" s="87">
        <v>0</v>
      </c>
      <c r="F25" s="122" t="s">
        <v>143</v>
      </c>
      <c r="G25" s="185" t="str">
        <f>IF(H23&gt;(-G22),"1 Year",IF(H23+I23&gt;(-G22),"2 Years",IF(H23+I23+J23&gt;(-G22),"3 Years",IF(H23+I23+J23+K23&gt;(-G22),"4 Years",IF(SUM(H23:L23)&gt;(-G22),"5 Years","Needs further Evaluation")))))</f>
        <v>Needs further Evaluation</v>
      </c>
      <c r="H25" s="186"/>
      <c r="I25" s="186"/>
      <c r="J25" s="186"/>
      <c r="K25" s="186"/>
      <c r="L25" s="187"/>
    </row>
    <row r="26" spans="2:12" ht="17.25" customHeight="1" thickBot="1">
      <c r="B26" s="68" t="s">
        <v>118</v>
      </c>
      <c r="C26" s="97">
        <v>10</v>
      </c>
      <c r="D26" s="88">
        <v>0</v>
      </c>
      <c r="F26" s="122" t="s">
        <v>142</v>
      </c>
      <c r="G26" s="182">
        <f>(SUM(H23:L23)-(-G22))/(-G22)</f>
        <v>-0.632500877588887</v>
      </c>
      <c r="H26" s="183"/>
      <c r="I26" s="183"/>
      <c r="J26" s="183"/>
      <c r="K26" s="183"/>
      <c r="L26" s="184"/>
    </row>
    <row r="27" spans="2:4" ht="54.75" customHeight="1">
      <c r="B27" s="177" t="s">
        <v>124</v>
      </c>
      <c r="C27" s="177"/>
      <c r="D27" s="177"/>
    </row>
    <row r="28" ht="18.75" customHeight="1"/>
  </sheetData>
  <sheetProtection/>
  <mergeCells count="7">
    <mergeCell ref="B2:D2"/>
    <mergeCell ref="B27:D27"/>
    <mergeCell ref="G17:L17"/>
    <mergeCell ref="G18:L18"/>
    <mergeCell ref="F19:L19"/>
    <mergeCell ref="G26:L26"/>
    <mergeCell ref="G25:L25"/>
  </mergeCells>
  <conditionalFormatting sqref="C6:D6 C7 C8:D8 C10:C14 D22 D24 C25:C26">
    <cfRule type="cellIs" priority="1" dxfId="1" operator="equal" stopIfTrue="1">
      <formula>0</formula>
    </cfRule>
  </conditionalFormatting>
  <dataValidations count="2">
    <dataValidation type="list" allowBlank="1" showInputMessage="1" showErrorMessage="1" error="Please Select from the drop down menu" sqref="B2:D2">
      <formula1>$Q$4:$Q$6</formula1>
    </dataValidation>
    <dataValidation allowBlank="1" showInputMessage="1" showErrorMessage="1" promptTitle="INITIAL INSTALLATION COST" prompt="LABOR COST TO CHANGE EXISTING REDUCER&#10;" sqref="D24"/>
  </dataValidation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Sumitomo Drive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Melton</dc:creator>
  <cp:keywords/>
  <dc:description/>
  <cp:lastModifiedBy>Brittany M. Mitchell</cp:lastModifiedBy>
  <cp:lastPrinted>2009-06-23T18:44:20Z</cp:lastPrinted>
  <dcterms:created xsi:type="dcterms:W3CDTF">2005-07-25T04:50:24Z</dcterms:created>
  <dcterms:modified xsi:type="dcterms:W3CDTF">2018-08-23T14:38:38Z</dcterms:modified>
  <cp:category/>
  <cp:version/>
  <cp:contentType/>
  <cp:contentStatus/>
</cp:coreProperties>
</file>